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EQUIPO\Documents\Consorcio Viater\"/>
    </mc:Choice>
  </mc:AlternateContent>
  <xr:revisionPtr revIDLastSave="0" documentId="13_ncr:1_{32314EA9-6135-4191-9B87-FD060D14162E}" xr6:coauthVersionLast="47" xr6:coauthVersionMax="47" xr10:uidLastSave="{00000000-0000-0000-0000-000000000000}"/>
  <bookViews>
    <workbookView xWindow="-110" yWindow="-110" windowWidth="19420" windowHeight="10300" firstSheet="1" activeTab="1" xr2:uid="{00000000-000D-0000-FFFF-FFFF00000000}"/>
  </bookViews>
  <sheets>
    <sheet name="DICIEMBRE 31" sheetId="2" state="hidden" r:id="rId1"/>
    <sheet name="AGOSTO-21" sheetId="1" r:id="rId2"/>
  </sheets>
  <externalReferences>
    <externalReference r:id="rId3"/>
  </externalReferences>
  <definedNames>
    <definedName name="_xlnm.Print_Area" localSheetId="1">'AGOSTO-21'!$A$1:$AM$56</definedName>
    <definedName name="_xlnm.Print_Area" localSheetId="0">'DICIEMBRE 31'!$A$1:$BS$68</definedName>
    <definedName name="OLE_LINK3" localSheetId="1">'AGOSTO-21'!#REF!</definedName>
    <definedName name="OLE_LINK3" localSheetId="0">'DICIEMBRE 31'!$U$66</definedName>
    <definedName name="_xlnm.Print_Titles" localSheetId="1">'AGOSTO-21'!$1:$12</definedName>
    <definedName name="_xlnm.Print_Titles" localSheetId="0">'DICIEMBRE 31'!$1:$12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33" i="1" l="1"/>
  <c r="AM33" i="1" s="1"/>
  <c r="AE48" i="1"/>
  <c r="AH48" i="1" s="1"/>
  <c r="AH47" i="1"/>
  <c r="AE47" i="1"/>
  <c r="AE49" i="1"/>
  <c r="AE44" i="1"/>
  <c r="AE45" i="1"/>
  <c r="AE42" i="1"/>
  <c r="AM46" i="1"/>
  <c r="AM50" i="1"/>
  <c r="AL40" i="1"/>
  <c r="AL41" i="1"/>
  <c r="AL42" i="1"/>
  <c r="AL43" i="1"/>
  <c r="AL44" i="1"/>
  <c r="AL46" i="1"/>
  <c r="AL47" i="1"/>
  <c r="AL48" i="1"/>
  <c r="AL49" i="1"/>
  <c r="AL50" i="1"/>
  <c r="AL39" i="1"/>
  <c r="AM32" i="1"/>
  <c r="AM25" i="1"/>
  <c r="AM26" i="1"/>
  <c r="AL16" i="1"/>
  <c r="AL17" i="1"/>
  <c r="AL18" i="1"/>
  <c r="AL20" i="1"/>
  <c r="AL21" i="1"/>
  <c r="AL22" i="1"/>
  <c r="AL24" i="1"/>
  <c r="AL25" i="1"/>
  <c r="AL26" i="1"/>
  <c r="AL15" i="1"/>
  <c r="AE16" i="1"/>
  <c r="AE17" i="1"/>
  <c r="AE18" i="1"/>
  <c r="AE19" i="1"/>
  <c r="AE20" i="1"/>
  <c r="AE21" i="1"/>
  <c r="AE22" i="1"/>
  <c r="AE23" i="1"/>
  <c r="AE24" i="1"/>
  <c r="AB47" i="1"/>
  <c r="AB44" i="1"/>
  <c r="AB45" i="1"/>
  <c r="AL45" i="1"/>
  <c r="AH20" i="1"/>
  <c r="AH21" i="1"/>
  <c r="AH22" i="1"/>
  <c r="AH23" i="1"/>
  <c r="AH16" i="1"/>
  <c r="AH17" i="1"/>
  <c r="AH18" i="1"/>
  <c r="AH19" i="1"/>
  <c r="AE40" i="1"/>
  <c r="AE41" i="1"/>
  <c r="AB40" i="1"/>
  <c r="AB41" i="1"/>
  <c r="Z27" i="1"/>
  <c r="AL27" i="1" s="1"/>
  <c r="AB24" i="1"/>
  <c r="Z23" i="1"/>
  <c r="AL23" i="1" s="1"/>
  <c r="AB22" i="1"/>
  <c r="Z21" i="1"/>
  <c r="AB20" i="1"/>
  <c r="Z19" i="1"/>
  <c r="AL19" i="1" s="1"/>
  <c r="AB18" i="1"/>
  <c r="AB17" i="1"/>
  <c r="AB16" i="1"/>
  <c r="AB15" i="1"/>
  <c r="AO28" i="1"/>
  <c r="AH49" i="1" l="1"/>
  <c r="AM49" i="1" s="1"/>
  <c r="AM48" i="1"/>
  <c r="AB19" i="1"/>
  <c r="AB27" i="1"/>
  <c r="AB23" i="1"/>
  <c r="AB21" i="1"/>
  <c r="AO29" i="1"/>
  <c r="S75" i="2"/>
  <c r="BS52" i="2"/>
  <c r="BR50" i="2"/>
  <c r="AB50" i="2"/>
  <c r="BQ50" i="2" s="1"/>
  <c r="Y50" i="2"/>
  <c r="B50" i="2"/>
  <c r="BP49" i="2"/>
  <c r="BR49" i="2" s="1"/>
  <c r="AB49" i="2"/>
  <c r="BQ49" i="2" s="1"/>
  <c r="Y49" i="2"/>
  <c r="BS49" i="2" s="1"/>
  <c r="G49" i="2"/>
  <c r="B49" i="2"/>
  <c r="A49" i="2"/>
  <c r="BP48" i="2"/>
  <c r="BR48" i="2" s="1"/>
  <c r="AB48" i="2"/>
  <c r="BQ48" i="2" s="1"/>
  <c r="Y48" i="2"/>
  <c r="B48" i="2"/>
  <c r="A48" i="2"/>
  <c r="BP47" i="2"/>
  <c r="BO47" i="2"/>
  <c r="BL47" i="2"/>
  <c r="BI47" i="2"/>
  <c r="BF47" i="2"/>
  <c r="BC47" i="2"/>
  <c r="AZ47" i="2"/>
  <c r="AW47" i="2"/>
  <c r="AT47" i="2"/>
  <c r="AQ47" i="2"/>
  <c r="AN47" i="2"/>
  <c r="AK47" i="2"/>
  <c r="AB47" i="2"/>
  <c r="S47" i="2"/>
  <c r="M47" i="2"/>
  <c r="F47" i="2"/>
  <c r="X47" i="2" s="1"/>
  <c r="E47" i="2"/>
  <c r="W47" i="2" s="1"/>
  <c r="B47" i="2"/>
  <c r="A47" i="2"/>
  <c r="BP46" i="2"/>
  <c r="Z46" i="2"/>
  <c r="F46" i="2"/>
  <c r="C46" i="2"/>
  <c r="BO45" i="2"/>
  <c r="BL45" i="2"/>
  <c r="BI45" i="2"/>
  <c r="BF45" i="2"/>
  <c r="BC45" i="2"/>
  <c r="AZ45" i="2"/>
  <c r="AW45" i="2"/>
  <c r="AT45" i="2"/>
  <c r="AQ45" i="2"/>
  <c r="AM45" i="2"/>
  <c r="BP45" i="2" s="1"/>
  <c r="AK45" i="2"/>
  <c r="AB45" i="2"/>
  <c r="X45" i="2"/>
  <c r="S45" i="2"/>
  <c r="M45" i="2"/>
  <c r="G45" i="2"/>
  <c r="Y45" i="2" s="1"/>
  <c r="E45" i="2"/>
  <c r="W45" i="2" s="1"/>
  <c r="B45" i="2"/>
  <c r="A45" i="2"/>
  <c r="BP44" i="2"/>
  <c r="BO44" i="2"/>
  <c r="BL44" i="2"/>
  <c r="BI44" i="2"/>
  <c r="BF44" i="2"/>
  <c r="BC44" i="2"/>
  <c r="AZ44" i="2"/>
  <c r="AW44" i="2"/>
  <c r="AT44" i="2"/>
  <c r="AQ44" i="2"/>
  <c r="AN44" i="2"/>
  <c r="AK44" i="2"/>
  <c r="AB44" i="2"/>
  <c r="BQ44" i="2" s="1"/>
  <c r="S44" i="2"/>
  <c r="M44" i="2"/>
  <c r="F44" i="2"/>
  <c r="X44" i="2" s="1"/>
  <c r="E44" i="2"/>
  <c r="W44" i="2" s="1"/>
  <c r="B44" i="2"/>
  <c r="A44" i="2"/>
  <c r="BO43" i="2"/>
  <c r="BL43" i="2"/>
  <c r="BI43" i="2"/>
  <c r="BF43" i="2"/>
  <c r="BC43" i="2"/>
  <c r="AZ43" i="2"/>
  <c r="AW43" i="2"/>
  <c r="AT43" i="2"/>
  <c r="AQ43" i="2"/>
  <c r="AM43" i="2"/>
  <c r="AN43" i="2" s="1"/>
  <c r="AJ43" i="2"/>
  <c r="AH43" i="2"/>
  <c r="AE43" i="2"/>
  <c r="AB43" i="2"/>
  <c r="X43" i="2"/>
  <c r="W43" i="2"/>
  <c r="S43" i="2"/>
  <c r="M43" i="2"/>
  <c r="G43" i="2"/>
  <c r="Y43" i="2" s="1"/>
  <c r="B43" i="2"/>
  <c r="A43" i="2"/>
  <c r="BO42" i="2"/>
  <c r="BL42" i="2"/>
  <c r="BI42" i="2"/>
  <c r="BF42" i="2"/>
  <c r="BC42" i="2"/>
  <c r="AZ42" i="2"/>
  <c r="AW42" i="2"/>
  <c r="AT42" i="2"/>
  <c r="AQ42" i="2"/>
  <c r="AM42" i="2"/>
  <c r="AN42" i="2" s="1"/>
  <c r="AJ42" i="2"/>
  <c r="AH42" i="2"/>
  <c r="AE42" i="2"/>
  <c r="AB42" i="2"/>
  <c r="X42" i="2"/>
  <c r="W42" i="2"/>
  <c r="S42" i="2"/>
  <c r="M42" i="2"/>
  <c r="G42" i="2"/>
  <c r="Y42" i="2" s="1"/>
  <c r="B42" i="2"/>
  <c r="A42" i="2"/>
  <c r="BP41" i="2"/>
  <c r="BO41" i="2"/>
  <c r="BL41" i="2"/>
  <c r="BI41" i="2"/>
  <c r="BF41" i="2"/>
  <c r="BC41" i="2"/>
  <c r="AZ41" i="2"/>
  <c r="AW41" i="2"/>
  <c r="AT41" i="2"/>
  <c r="AQ41" i="2"/>
  <c r="AN41" i="2"/>
  <c r="AK41" i="2"/>
  <c r="BQ41" i="2" s="1"/>
  <c r="AB41" i="2"/>
  <c r="X41" i="2"/>
  <c r="S41" i="2"/>
  <c r="M41" i="2"/>
  <c r="E41" i="2"/>
  <c r="W41" i="2" s="1"/>
  <c r="BR41" i="2" s="1"/>
  <c r="B41" i="2"/>
  <c r="A41" i="2"/>
  <c r="BP40" i="2"/>
  <c r="BO40" i="2"/>
  <c r="BL40" i="2"/>
  <c r="BI40" i="2"/>
  <c r="BF40" i="2"/>
  <c r="BC40" i="2"/>
  <c r="AZ40" i="2"/>
  <c r="AW40" i="2"/>
  <c r="AT40" i="2"/>
  <c r="AQ40" i="2"/>
  <c r="AN40" i="2"/>
  <c r="AB40" i="2"/>
  <c r="X40" i="2"/>
  <c r="W40" i="2"/>
  <c r="S40" i="2"/>
  <c r="M40" i="2"/>
  <c r="M51" i="2" s="1"/>
  <c r="C40" i="2"/>
  <c r="AK40" i="2" s="1"/>
  <c r="B40" i="2"/>
  <c r="A40" i="2"/>
  <c r="BO39" i="2"/>
  <c r="BL39" i="2"/>
  <c r="BI39" i="2"/>
  <c r="BF39" i="2"/>
  <c r="BC39" i="2"/>
  <c r="BC51" i="2" s="1"/>
  <c r="AZ39" i="2"/>
  <c r="AW39" i="2"/>
  <c r="AT39" i="2"/>
  <c r="AQ39" i="2"/>
  <c r="AM39" i="2"/>
  <c r="AN39" i="2" s="1"/>
  <c r="AJ39" i="2"/>
  <c r="BP39" i="2" s="1"/>
  <c r="AH39" i="2"/>
  <c r="AE39" i="2"/>
  <c r="AE51" i="2" s="1"/>
  <c r="AB39" i="2"/>
  <c r="X39" i="2"/>
  <c r="S39" i="2"/>
  <c r="M39" i="2"/>
  <c r="E39" i="2"/>
  <c r="G39" i="2" s="1"/>
  <c r="Y39" i="2" s="1"/>
  <c r="B39" i="2"/>
  <c r="A39" i="2"/>
  <c r="BR33" i="2"/>
  <c r="BF33" i="2"/>
  <c r="BQ33" i="2" s="1"/>
  <c r="BC33" i="2"/>
  <c r="Y33" i="2"/>
  <c r="A33" i="2"/>
  <c r="BR32" i="2"/>
  <c r="BQ32" i="2"/>
  <c r="G32" i="2"/>
  <c r="Y32" i="2" s="1"/>
  <c r="BS32" i="2" s="1"/>
  <c r="Y30" i="2"/>
  <c r="AB30" i="2" s="1"/>
  <c r="BO27" i="2"/>
  <c r="BL27" i="2"/>
  <c r="BI27" i="2"/>
  <c r="BF27" i="2"/>
  <c r="BC27" i="2"/>
  <c r="AZ27" i="2"/>
  <c r="AW27" i="2"/>
  <c r="AT27" i="2"/>
  <c r="AQ27" i="2"/>
  <c r="AM27" i="2"/>
  <c r="AN27" i="2" s="1"/>
  <c r="AJ27" i="2"/>
  <c r="AK27" i="2" s="1"/>
  <c r="AH27" i="2"/>
  <c r="AE27" i="2"/>
  <c r="AA27" i="2"/>
  <c r="Z27" i="2"/>
  <c r="X27" i="2"/>
  <c r="W27" i="2"/>
  <c r="S27" i="2"/>
  <c r="M27" i="2"/>
  <c r="G27" i="2"/>
  <c r="Y27" i="2" s="1"/>
  <c r="BP24" i="2"/>
  <c r="BO24" i="2"/>
  <c r="BL24" i="2"/>
  <c r="BI24" i="2"/>
  <c r="BF24" i="2"/>
  <c r="BC24" i="2"/>
  <c r="AZ24" i="2"/>
  <c r="AW24" i="2"/>
  <c r="AT24" i="2"/>
  <c r="AQ24" i="2"/>
  <c r="AN24" i="2"/>
  <c r="AK24" i="2"/>
  <c r="AE24" i="2"/>
  <c r="AB24" i="2"/>
  <c r="Y24" i="2"/>
  <c r="X24" i="2"/>
  <c r="W24" i="2"/>
  <c r="BR24" i="2" s="1"/>
  <c r="S24" i="2"/>
  <c r="M24" i="2"/>
  <c r="G24" i="2"/>
  <c r="BO23" i="2"/>
  <c r="BL23" i="2"/>
  <c r="BI23" i="2"/>
  <c r="BF23" i="2"/>
  <c r="BC23" i="2"/>
  <c r="AZ23" i="2"/>
  <c r="AW23" i="2"/>
  <c r="AT23" i="2"/>
  <c r="AQ23" i="2"/>
  <c r="AM23" i="2"/>
  <c r="AN23" i="2" s="1"/>
  <c r="AJ23" i="2"/>
  <c r="AK23" i="2" s="1"/>
  <c r="AH23" i="2"/>
  <c r="AE23" i="2"/>
  <c r="AA23" i="2"/>
  <c r="Z23" i="2"/>
  <c r="AB23" i="2" s="1"/>
  <c r="BQ23" i="2" s="1"/>
  <c r="X23" i="2"/>
  <c r="W23" i="2"/>
  <c r="S23" i="2"/>
  <c r="M23" i="2"/>
  <c r="G23" i="2"/>
  <c r="Y23" i="2" s="1"/>
  <c r="BP22" i="2"/>
  <c r="BO22" i="2"/>
  <c r="BL22" i="2"/>
  <c r="BI22" i="2"/>
  <c r="BF22" i="2"/>
  <c r="BC22" i="2"/>
  <c r="AZ22" i="2"/>
  <c r="AW22" i="2"/>
  <c r="AT22" i="2"/>
  <c r="AQ22" i="2"/>
  <c r="AN22" i="2"/>
  <c r="AK22" i="2"/>
  <c r="AE22" i="2"/>
  <c r="AB22" i="2"/>
  <c r="X22" i="2"/>
  <c r="W22" i="2"/>
  <c r="BR22" i="2" s="1"/>
  <c r="S22" i="2"/>
  <c r="M22" i="2"/>
  <c r="G22" i="2"/>
  <c r="Y22" i="2" s="1"/>
  <c r="BO21" i="2"/>
  <c r="BL21" i="2"/>
  <c r="BI21" i="2"/>
  <c r="BF21" i="2"/>
  <c r="BC21" i="2"/>
  <c r="AZ21" i="2"/>
  <c r="AW21" i="2"/>
  <c r="AT21" i="2"/>
  <c r="AQ21" i="2"/>
  <c r="AN21" i="2"/>
  <c r="AJ21" i="2"/>
  <c r="AK21" i="2" s="1"/>
  <c r="AH21" i="2"/>
  <c r="AE21" i="2"/>
  <c r="AA21" i="2"/>
  <c r="Z21" i="2"/>
  <c r="BP21" i="2" s="1"/>
  <c r="X21" i="2"/>
  <c r="W21" i="2"/>
  <c r="S21" i="2"/>
  <c r="M21" i="2"/>
  <c r="G21" i="2"/>
  <c r="Y21" i="2" s="1"/>
  <c r="BP20" i="2"/>
  <c r="BO20" i="2"/>
  <c r="BL20" i="2"/>
  <c r="BI20" i="2"/>
  <c r="BF20" i="2"/>
  <c r="BC20" i="2"/>
  <c r="AZ20" i="2"/>
  <c r="AW20" i="2"/>
  <c r="AT20" i="2"/>
  <c r="AQ20" i="2"/>
  <c r="AN20" i="2"/>
  <c r="AK20" i="2"/>
  <c r="AE20" i="2"/>
  <c r="AB20" i="2"/>
  <c r="Y20" i="2"/>
  <c r="X20" i="2"/>
  <c r="W20" i="2"/>
  <c r="BR20" i="2" s="1"/>
  <c r="S20" i="2"/>
  <c r="M20" i="2"/>
  <c r="G20" i="2"/>
  <c r="BO19" i="2"/>
  <c r="BL19" i="2"/>
  <c r="BI19" i="2"/>
  <c r="BF19" i="2"/>
  <c r="BC19" i="2"/>
  <c r="AZ19" i="2"/>
  <c r="AW19" i="2"/>
  <c r="AT19" i="2"/>
  <c r="AQ19" i="2"/>
  <c r="AN19" i="2"/>
  <c r="AJ19" i="2"/>
  <c r="AK19" i="2" s="1"/>
  <c r="AH19" i="2"/>
  <c r="AE19" i="2"/>
  <c r="AA19" i="2"/>
  <c r="Z19" i="2"/>
  <c r="BP19" i="2" s="1"/>
  <c r="X19" i="2"/>
  <c r="BR19" i="2" s="1"/>
  <c r="W19" i="2"/>
  <c r="S19" i="2"/>
  <c r="M19" i="2"/>
  <c r="G19" i="2"/>
  <c r="Y19" i="2" s="1"/>
  <c r="BP18" i="2"/>
  <c r="BO18" i="2"/>
  <c r="BL18" i="2"/>
  <c r="BI18" i="2"/>
  <c r="BF18" i="2"/>
  <c r="BC18" i="2"/>
  <c r="AZ18" i="2"/>
  <c r="AW18" i="2"/>
  <c r="AT18" i="2"/>
  <c r="AQ18" i="2"/>
  <c r="AN18" i="2"/>
  <c r="AK18" i="2"/>
  <c r="AH18" i="2"/>
  <c r="AE18" i="2"/>
  <c r="AB18" i="2"/>
  <c r="BQ18" i="2" s="1"/>
  <c r="X18" i="2"/>
  <c r="W18" i="2"/>
  <c r="BR18" i="2" s="1"/>
  <c r="S18" i="2"/>
  <c r="M18" i="2"/>
  <c r="G18" i="2"/>
  <c r="Y18" i="2" s="1"/>
  <c r="BP17" i="2"/>
  <c r="BO17" i="2"/>
  <c r="BL17" i="2"/>
  <c r="BI17" i="2"/>
  <c r="BF17" i="2"/>
  <c r="BC17" i="2"/>
  <c r="BC29" i="2" s="1"/>
  <c r="AZ17" i="2"/>
  <c r="AW17" i="2"/>
  <c r="AT17" i="2"/>
  <c r="AQ17" i="2"/>
  <c r="AN17" i="2"/>
  <c r="AK17" i="2"/>
  <c r="AH17" i="2"/>
  <c r="AE17" i="2"/>
  <c r="AB17" i="2"/>
  <c r="X17" i="2"/>
  <c r="W17" i="2"/>
  <c r="BR17" i="2" s="1"/>
  <c r="S17" i="2"/>
  <c r="M17" i="2"/>
  <c r="G17" i="2"/>
  <c r="Y17" i="2" s="1"/>
  <c r="BO16" i="2"/>
  <c r="BL16" i="2"/>
  <c r="BI16" i="2"/>
  <c r="BF16" i="2"/>
  <c r="BC16" i="2"/>
  <c r="AZ16" i="2"/>
  <c r="AW16" i="2"/>
  <c r="AT16" i="2"/>
  <c r="AQ16" i="2"/>
  <c r="AM16" i="2"/>
  <c r="AN16" i="2" s="1"/>
  <c r="AJ16" i="2"/>
  <c r="AK16" i="2" s="1"/>
  <c r="AH16" i="2"/>
  <c r="AE16" i="2"/>
  <c r="AA16" i="2"/>
  <c r="AB16" i="2" s="1"/>
  <c r="BQ16" i="2" s="1"/>
  <c r="X16" i="2"/>
  <c r="W16" i="2"/>
  <c r="S16" i="2"/>
  <c r="M16" i="2"/>
  <c r="G16" i="2"/>
  <c r="Y16" i="2" s="1"/>
  <c r="BO15" i="2"/>
  <c r="BL15" i="2"/>
  <c r="BI15" i="2"/>
  <c r="BF15" i="2"/>
  <c r="BC15" i="2"/>
  <c r="AZ15" i="2"/>
  <c r="AW15" i="2"/>
  <c r="AW29" i="2" s="1"/>
  <c r="AT15" i="2"/>
  <c r="AQ15" i="2"/>
  <c r="AM15" i="2"/>
  <c r="AN15" i="2" s="1"/>
  <c r="AJ15" i="2"/>
  <c r="AK15" i="2" s="1"/>
  <c r="AH15" i="2"/>
  <c r="AE15" i="2"/>
  <c r="AA15" i="2"/>
  <c r="AB15" i="2" s="1"/>
  <c r="X15" i="2"/>
  <c r="W15" i="2"/>
  <c r="S15" i="2"/>
  <c r="M15" i="2"/>
  <c r="G15" i="2"/>
  <c r="W7" i="2"/>
  <c r="AK17" i="1"/>
  <c r="AM17" i="1" s="1"/>
  <c r="X17" i="1"/>
  <c r="W17" i="1"/>
  <c r="S17" i="1"/>
  <c r="M17" i="1"/>
  <c r="G17" i="1"/>
  <c r="Y17" i="1" s="1"/>
  <c r="AK18" i="1"/>
  <c r="AM18" i="1" s="1"/>
  <c r="X18" i="1"/>
  <c r="W18" i="1"/>
  <c r="S18" i="1"/>
  <c r="M18" i="1"/>
  <c r="G18" i="1"/>
  <c r="Y18" i="1" s="1"/>
  <c r="BQ30" i="2" l="1"/>
  <c r="BS30" i="2" s="1"/>
  <c r="AE30" i="2"/>
  <c r="AH30" i="2" s="1"/>
  <c r="AK30" i="2" s="1"/>
  <c r="AN30" i="2" s="1"/>
  <c r="AQ30" i="2" s="1"/>
  <c r="AT30" i="2" s="1"/>
  <c r="AW30" i="2" s="1"/>
  <c r="AZ30" i="2" s="1"/>
  <c r="BC30" i="2" s="1"/>
  <c r="BF30" i="2" s="1"/>
  <c r="BI30" i="2" s="1"/>
  <c r="BL30" i="2" s="1"/>
  <c r="BO30" i="2" s="1"/>
  <c r="AK29" i="2"/>
  <c r="AK31" i="2" s="1"/>
  <c r="AK34" i="2" s="1"/>
  <c r="BP16" i="2"/>
  <c r="BR16" i="2" s="1"/>
  <c r="AZ29" i="2"/>
  <c r="S29" i="2"/>
  <c r="S31" i="2" s="1"/>
  <c r="S34" i="2" s="1"/>
  <c r="BL51" i="2"/>
  <c r="AE29" i="2"/>
  <c r="AE31" i="2" s="1"/>
  <c r="AE34" i="2" s="1"/>
  <c r="AE53" i="2" s="1"/>
  <c r="AQ29" i="2"/>
  <c r="BO29" i="2"/>
  <c r="BQ17" i="2"/>
  <c r="BS17" i="2" s="1"/>
  <c r="AB21" i="2"/>
  <c r="BQ21" i="2" s="1"/>
  <c r="BP23" i="2"/>
  <c r="S51" i="2"/>
  <c r="BQ47" i="2"/>
  <c r="BS48" i="2"/>
  <c r="AW31" i="2"/>
  <c r="AW34" i="2" s="1"/>
  <c r="BR23" i="2"/>
  <c r="M29" i="2"/>
  <c r="M31" i="2" s="1"/>
  <c r="M34" i="2" s="1"/>
  <c r="M53" i="2" s="1"/>
  <c r="BL29" i="2"/>
  <c r="BI29" i="2"/>
  <c r="BI31" i="2" s="1"/>
  <c r="BI34" i="2" s="1"/>
  <c r="BI53" i="2" s="1"/>
  <c r="BQ24" i="2"/>
  <c r="BS24" i="2" s="1"/>
  <c r="AB51" i="2"/>
  <c r="AK39" i="2"/>
  <c r="AW51" i="2"/>
  <c r="BI51" i="2"/>
  <c r="AZ51" i="2"/>
  <c r="AT29" i="2"/>
  <c r="AT31" i="2" s="1"/>
  <c r="AT34" i="2" s="1"/>
  <c r="BF29" i="2"/>
  <c r="BF31" i="2" s="1"/>
  <c r="BF34" i="2" s="1"/>
  <c r="BS16" i="2"/>
  <c r="AH29" i="2"/>
  <c r="AH31" i="2" s="1"/>
  <c r="AH34" i="2" s="1"/>
  <c r="BS18" i="2"/>
  <c r="AB19" i="2"/>
  <c r="BQ19" i="2" s="1"/>
  <c r="BS19" i="2" s="1"/>
  <c r="BS21" i="2"/>
  <c r="BQ22" i="2"/>
  <c r="BS22" i="2" s="1"/>
  <c r="W39" i="2"/>
  <c r="BR39" i="2" s="1"/>
  <c r="AH51" i="2"/>
  <c r="AQ51" i="2"/>
  <c r="BO51" i="2"/>
  <c r="G40" i="2"/>
  <c r="Y40" i="2" s="1"/>
  <c r="BR40" i="2"/>
  <c r="G41" i="2"/>
  <c r="Y41" i="2" s="1"/>
  <c r="BS41" i="2" s="1"/>
  <c r="BR45" i="2"/>
  <c r="BS23" i="2"/>
  <c r="BS45" i="2"/>
  <c r="BQ15" i="2"/>
  <c r="AZ31" i="2"/>
  <c r="AZ34" i="2" s="1"/>
  <c r="AZ53" i="2" s="1"/>
  <c r="BL31" i="2"/>
  <c r="BL34" i="2" s="1"/>
  <c r="BL53" i="2" s="1"/>
  <c r="BC31" i="2"/>
  <c r="BC34" i="2" s="1"/>
  <c r="BC53" i="2" s="1"/>
  <c r="AE57" i="2"/>
  <c r="AQ31" i="2"/>
  <c r="AQ34" i="2" s="1"/>
  <c r="AQ53" i="2" s="1"/>
  <c r="BO31" i="2"/>
  <c r="BO34" i="2" s="1"/>
  <c r="BO53" i="2" s="1"/>
  <c r="AN29" i="2"/>
  <c r="AN31" i="2" s="1"/>
  <c r="AN34" i="2" s="1"/>
  <c r="BR21" i="2"/>
  <c r="BS33" i="2"/>
  <c r="AN45" i="2"/>
  <c r="BQ45" i="2" s="1"/>
  <c r="BS50" i="2"/>
  <c r="G51" i="2"/>
  <c r="BP27" i="2"/>
  <c r="BR27" i="2" s="1"/>
  <c r="AB27" i="2"/>
  <c r="BQ27" i="2" s="1"/>
  <c r="BS27" i="2" s="1"/>
  <c r="BQ39" i="2"/>
  <c r="BS39" i="2" s="1"/>
  <c r="BQ20" i="2"/>
  <c r="BS20" i="2" s="1"/>
  <c r="G29" i="2"/>
  <c r="G31" i="2" s="1"/>
  <c r="G34" i="2" s="1"/>
  <c r="Y15" i="2"/>
  <c r="BP15" i="2"/>
  <c r="BR15" i="2" s="1"/>
  <c r="AT51" i="2"/>
  <c r="BF51" i="2"/>
  <c r="BQ40" i="2"/>
  <c r="BS40" i="2" s="1"/>
  <c r="BP42" i="2"/>
  <c r="BR42" i="2" s="1"/>
  <c r="BP43" i="2"/>
  <c r="BR43" i="2" s="1"/>
  <c r="BR44" i="2"/>
  <c r="BR47" i="2"/>
  <c r="AK42" i="2"/>
  <c r="BQ42" i="2" s="1"/>
  <c r="BS42" i="2" s="1"/>
  <c r="AK43" i="2"/>
  <c r="BQ43" i="2" s="1"/>
  <c r="BS43" i="2" s="1"/>
  <c r="G44" i="2"/>
  <c r="Y44" i="2" s="1"/>
  <c r="BS44" i="2" s="1"/>
  <c r="G47" i="2"/>
  <c r="Y47" i="2" s="1"/>
  <c r="BS47" i="2" l="1"/>
  <c r="AH53" i="2"/>
  <c r="AW53" i="2"/>
  <c r="S53" i="2"/>
  <c r="BF53" i="2"/>
  <c r="AE54" i="2"/>
  <c r="AE55" i="2" s="1"/>
  <c r="AE58" i="2" s="1"/>
  <c r="AT53" i="2"/>
  <c r="AT57" i="2" s="1"/>
  <c r="AN51" i="2"/>
  <c r="AN53" i="2" s="1"/>
  <c r="BF57" i="2"/>
  <c r="BF54" i="2"/>
  <c r="BF55" i="2" s="1"/>
  <c r="BF58" i="2" s="1"/>
  <c r="AQ57" i="2"/>
  <c r="AQ55" i="2"/>
  <c r="AQ58" i="2" s="1"/>
  <c r="AQ54" i="2"/>
  <c r="BI57" i="2"/>
  <c r="BI54" i="2"/>
  <c r="BI55" i="2" s="1"/>
  <c r="BI58" i="2" s="1"/>
  <c r="AB29" i="2"/>
  <c r="Y29" i="2"/>
  <c r="BS15" i="2"/>
  <c r="AK51" i="2"/>
  <c r="AZ57" i="2"/>
  <c r="AZ54" i="2"/>
  <c r="AZ55" i="2" s="1"/>
  <c r="G53" i="2"/>
  <c r="BO57" i="2"/>
  <c r="BO54" i="2"/>
  <c r="BO55" i="2" s="1"/>
  <c r="BO58" i="2" s="1"/>
  <c r="BC57" i="2"/>
  <c r="BC54" i="2"/>
  <c r="BC55" i="2" s="1"/>
  <c r="BL57" i="2"/>
  <c r="BL54" i="2"/>
  <c r="BL55" i="2" s="1"/>
  <c r="M57" i="2"/>
  <c r="M55" i="2"/>
  <c r="M54" i="2"/>
  <c r="Y51" i="2"/>
  <c r="AW57" i="2" l="1"/>
  <c r="AW54" i="2"/>
  <c r="AW55" i="2" s="1"/>
  <c r="AW58" i="2" s="1"/>
  <c r="BC58" i="2"/>
  <c r="AT54" i="2"/>
  <c r="AT55" i="2" s="1"/>
  <c r="AT58" i="2" s="1"/>
  <c r="AH54" i="2"/>
  <c r="AH57" i="2"/>
  <c r="AH55" i="2"/>
  <c r="AH58" i="2" s="1"/>
  <c r="AZ58" i="2"/>
  <c r="S57" i="2"/>
  <c r="S54" i="2"/>
  <c r="S55" i="2" s="1"/>
  <c r="BL58" i="2"/>
  <c r="Y31" i="2"/>
  <c r="M58" i="2"/>
  <c r="G57" i="2"/>
  <c r="G54" i="2"/>
  <c r="G55" i="2" s="1"/>
  <c r="G58" i="2" s="1"/>
  <c r="AK53" i="2"/>
  <c r="BQ51" i="2"/>
  <c r="BS51" i="2" s="1"/>
  <c r="AN57" i="2"/>
  <c r="AN54" i="2"/>
  <c r="AN55" i="2" s="1"/>
  <c r="AB31" i="2"/>
  <c r="BQ29" i="2"/>
  <c r="BS29" i="2" s="1"/>
  <c r="S58" i="2" l="1"/>
  <c r="O72" i="2"/>
  <c r="BQ31" i="2"/>
  <c r="BS31" i="2" s="1"/>
  <c r="AB34" i="2"/>
  <c r="Y34" i="2"/>
  <c r="AN58" i="2"/>
  <c r="AK57" i="2"/>
  <c r="AK54" i="2"/>
  <c r="AK55" i="2" s="1"/>
  <c r="AK58" i="2" s="1"/>
  <c r="Y53" i="2" l="1"/>
  <c r="BQ34" i="2"/>
  <c r="BS34" i="2" s="1"/>
  <c r="AB53" i="2"/>
  <c r="BQ53" i="2" l="1"/>
  <c r="AB54" i="2"/>
  <c r="BQ54" i="2" s="1"/>
  <c r="AB57" i="2"/>
  <c r="BQ57" i="2" s="1"/>
  <c r="Y57" i="2"/>
  <c r="Y54" i="2"/>
  <c r="Y55" i="2"/>
  <c r="BS53" i="2"/>
  <c r="Y58" i="2" l="1"/>
  <c r="BS54" i="2"/>
  <c r="AB55" i="2"/>
  <c r="BS57" i="2"/>
  <c r="AK43" i="1"/>
  <c r="AK42" i="1"/>
  <c r="AK39" i="1"/>
  <c r="AK27" i="1"/>
  <c r="AK23" i="1"/>
  <c r="AM23" i="1" s="1"/>
  <c r="AK47" i="1"/>
  <c r="AK45" i="1"/>
  <c r="AK44" i="1"/>
  <c r="AK41" i="1"/>
  <c r="AK40" i="1"/>
  <c r="AK24" i="1"/>
  <c r="AK22" i="1"/>
  <c r="AM22" i="1" s="1"/>
  <c r="AK21" i="1"/>
  <c r="AM21" i="1" s="1"/>
  <c r="AK20" i="1"/>
  <c r="AM20" i="1" s="1"/>
  <c r="AK19" i="1"/>
  <c r="AM19" i="1" s="1"/>
  <c r="AK16" i="1"/>
  <c r="AM16" i="1" s="1"/>
  <c r="AK15" i="1"/>
  <c r="BQ55" i="2" l="1"/>
  <c r="BS55" i="2" s="1"/>
  <c r="AB58" i="2"/>
  <c r="BQ58" i="2" s="1"/>
  <c r="BS58" i="2" s="1"/>
  <c r="BU58" i="2" s="1"/>
  <c r="AK29" i="1"/>
  <c r="AK51" i="1"/>
  <c r="AM47" i="1"/>
  <c r="AH45" i="1"/>
  <c r="AM45" i="1" s="1"/>
  <c r="AH44" i="1"/>
  <c r="AM44" i="1" s="1"/>
  <c r="AH41" i="1"/>
  <c r="AM41" i="1" s="1"/>
  <c r="AH24" i="1"/>
  <c r="AM24" i="1" s="1"/>
  <c r="AH43" i="1"/>
  <c r="AH42" i="1" l="1"/>
  <c r="AH15" i="1"/>
  <c r="AH27" i="1"/>
  <c r="AH39" i="1"/>
  <c r="AH29" i="1" l="1"/>
  <c r="AE43" i="1"/>
  <c r="AE39" i="1"/>
  <c r="AE27" i="1"/>
  <c r="AM27" i="1" s="1"/>
  <c r="AE15" i="1"/>
  <c r="AM15" i="1" s="1"/>
  <c r="AM29" i="1" l="1"/>
  <c r="AE51" i="1"/>
  <c r="AE29" i="1"/>
  <c r="AB42" i="1"/>
  <c r="AM42" i="1" s="1"/>
  <c r="AB39" i="1" l="1"/>
  <c r="AM39" i="1" s="1"/>
  <c r="AB43" i="1"/>
  <c r="AM43" i="1" s="1"/>
  <c r="AB51" i="1" l="1"/>
  <c r="AB29" i="1"/>
  <c r="W7" i="1" l="1"/>
  <c r="Y50" i="1"/>
  <c r="Y48" i="1"/>
  <c r="X45" i="1"/>
  <c r="X43" i="1"/>
  <c r="W43" i="1"/>
  <c r="X42" i="1"/>
  <c r="W42" i="1"/>
  <c r="X41" i="1"/>
  <c r="X40" i="1"/>
  <c r="W40" i="1"/>
  <c r="X39" i="1"/>
  <c r="X27" i="1"/>
  <c r="W27" i="1"/>
  <c r="X24" i="1"/>
  <c r="W24" i="1"/>
  <c r="X23" i="1"/>
  <c r="W23" i="1"/>
  <c r="X22" i="1"/>
  <c r="W22" i="1"/>
  <c r="X21" i="1"/>
  <c r="W21" i="1"/>
  <c r="X20" i="1"/>
  <c r="W20" i="1"/>
  <c r="X19" i="1"/>
  <c r="W19" i="1"/>
  <c r="X16" i="1"/>
  <c r="W16" i="1"/>
  <c r="X15" i="1"/>
  <c r="W15" i="1"/>
  <c r="S47" i="1"/>
  <c r="S45" i="1"/>
  <c r="S44" i="1"/>
  <c r="S43" i="1"/>
  <c r="S42" i="1"/>
  <c r="S41" i="1"/>
  <c r="S40" i="1"/>
  <c r="S39" i="1"/>
  <c r="S27" i="1"/>
  <c r="S24" i="1"/>
  <c r="S23" i="1"/>
  <c r="S22" i="1"/>
  <c r="S21" i="1"/>
  <c r="S20" i="1"/>
  <c r="S19" i="1"/>
  <c r="S16" i="1"/>
  <c r="S15" i="1"/>
  <c r="M47" i="1"/>
  <c r="M45" i="1"/>
  <c r="M44" i="1"/>
  <c r="M43" i="1"/>
  <c r="M42" i="1"/>
  <c r="M41" i="1"/>
  <c r="M40" i="1"/>
  <c r="M39" i="1"/>
  <c r="M27" i="1"/>
  <c r="M24" i="1"/>
  <c r="M23" i="1"/>
  <c r="M22" i="1"/>
  <c r="M21" i="1"/>
  <c r="M20" i="1"/>
  <c r="M19" i="1"/>
  <c r="M16" i="1"/>
  <c r="M15" i="1"/>
  <c r="M29" i="1" l="1"/>
  <c r="M31" i="1" s="1"/>
  <c r="S51" i="1"/>
  <c r="S29" i="1"/>
  <c r="M51" i="1"/>
  <c r="S31" i="1" l="1"/>
  <c r="S34" i="1" s="1"/>
  <c r="S53" i="1" s="1"/>
  <c r="B50" i="1"/>
  <c r="G49" i="1"/>
  <c r="B49" i="1"/>
  <c r="A49" i="1"/>
  <c r="B48" i="1"/>
  <c r="A48" i="1"/>
  <c r="F47" i="1"/>
  <c r="X47" i="1" s="1"/>
  <c r="E47" i="1"/>
  <c r="W47" i="1" s="1"/>
  <c r="B47" i="1"/>
  <c r="A47" i="1"/>
  <c r="F46" i="1"/>
  <c r="C46" i="1"/>
  <c r="E45" i="1"/>
  <c r="W45" i="1" s="1"/>
  <c r="B45" i="1"/>
  <c r="A45" i="1"/>
  <c r="F44" i="1"/>
  <c r="X44" i="1" s="1"/>
  <c r="E44" i="1"/>
  <c r="W44" i="1" s="1"/>
  <c r="B44" i="1"/>
  <c r="A44" i="1"/>
  <c r="B43" i="1"/>
  <c r="A43" i="1"/>
  <c r="B42" i="1"/>
  <c r="A42" i="1"/>
  <c r="E41" i="1"/>
  <c r="W41" i="1" s="1"/>
  <c r="B41" i="1"/>
  <c r="A41" i="1"/>
  <c r="C40" i="1"/>
  <c r="AH40" i="1" s="1"/>
  <c r="AM40" i="1" s="1"/>
  <c r="B40" i="1"/>
  <c r="A40" i="1"/>
  <c r="E39" i="1"/>
  <c r="W39" i="1" s="1"/>
  <c r="B39" i="1"/>
  <c r="A39" i="1"/>
  <c r="Y33" i="1"/>
  <c r="A33" i="1"/>
  <c r="G32" i="1"/>
  <c r="Y32" i="1" s="1"/>
  <c r="Y30" i="1"/>
  <c r="G27" i="1"/>
  <c r="Y27" i="1" s="1"/>
  <c r="G24" i="1"/>
  <c r="Y24" i="1" s="1"/>
  <c r="G23" i="1"/>
  <c r="Y23" i="1" s="1"/>
  <c r="G22" i="1"/>
  <c r="Y22" i="1" s="1"/>
  <c r="G21" i="1"/>
  <c r="Y21" i="1" s="1"/>
  <c r="G20" i="1"/>
  <c r="Y20" i="1" s="1"/>
  <c r="G19" i="1"/>
  <c r="Y19" i="1" s="1"/>
  <c r="G16" i="1"/>
  <c r="Y16" i="1" s="1"/>
  <c r="G15" i="1"/>
  <c r="AM51" i="1" l="1"/>
  <c r="S54" i="1"/>
  <c r="S55" i="1" s="1"/>
  <c r="AH51" i="1"/>
  <c r="Y49" i="1"/>
  <c r="G29" i="1"/>
  <c r="G43" i="1"/>
  <c r="Y43" i="1" s="1"/>
  <c r="G47" i="1"/>
  <c r="Y47" i="1" s="1"/>
  <c r="G39" i="1"/>
  <c r="Y39" i="1" s="1"/>
  <c r="G42" i="1"/>
  <c r="Y42" i="1" s="1"/>
  <c r="G45" i="1"/>
  <c r="Y45" i="1" s="1"/>
  <c r="G41" i="1"/>
  <c r="Y41" i="1" s="1"/>
  <c r="G40" i="1"/>
  <c r="Y40" i="1" s="1"/>
  <c r="G44" i="1"/>
  <c r="Y44" i="1" s="1"/>
  <c r="Y15" i="1"/>
  <c r="S62" i="1"/>
  <c r="AE30" i="1" l="1"/>
  <c r="AB31" i="1"/>
  <c r="AB34" i="1" s="1"/>
  <c r="AB53" i="1" s="1"/>
  <c r="G31" i="1"/>
  <c r="G34" i="1" s="1"/>
  <c r="Y51" i="1"/>
  <c r="AM31" i="1"/>
  <c r="AM34" i="1" s="1"/>
  <c r="AM53" i="1" s="1"/>
  <c r="AM54" i="1" s="1"/>
  <c r="AM55" i="1" s="1"/>
  <c r="G51" i="1"/>
  <c r="Y29" i="1"/>
  <c r="AB54" i="1" l="1"/>
  <c r="AB55" i="1" s="1"/>
  <c r="Y31" i="1"/>
  <c r="Y34" i="1" s="1"/>
  <c r="AH30" i="1"/>
  <c r="AE31" i="1"/>
  <c r="AE34" i="1" s="1"/>
  <c r="AE53" i="1" s="1"/>
  <c r="G53" i="1"/>
  <c r="G54" i="1" s="1"/>
  <c r="Y53" i="1" l="1"/>
  <c r="AK30" i="1"/>
  <c r="AH31" i="1"/>
  <c r="AH34" i="1" s="1"/>
  <c r="AH53" i="1" s="1"/>
  <c r="AE54" i="1"/>
  <c r="AE55" i="1" s="1"/>
  <c r="G55" i="1"/>
  <c r="AK31" i="1" l="1"/>
  <c r="AK34" i="1" s="1"/>
  <c r="Y54" i="1"/>
  <c r="Y55" i="1" s="1"/>
  <c r="AH54" i="1"/>
  <c r="AH55" i="1" s="1"/>
  <c r="AK53" i="1" l="1"/>
  <c r="M34" i="1"/>
  <c r="M53" i="1" s="1"/>
  <c r="M54" i="1" s="1"/>
  <c r="AK54" i="1" l="1"/>
  <c r="M55" i="1"/>
  <c r="AK55" i="1" l="1"/>
  <c r="O59" i="1"/>
  <c r="AO30" i="1" l="1"/>
  <c r="AO31" i="1" l="1"/>
</calcChain>
</file>

<file path=xl/sharedStrings.xml><?xml version="1.0" encoding="utf-8"?>
<sst xmlns="http://schemas.openxmlformats.org/spreadsheetml/2006/main" count="528" uniqueCount="97">
  <si>
    <t>DEPARTAMENTO DE ANTIOQUIA</t>
  </si>
  <si>
    <t>CONTRATO DE INTERVENTORIA</t>
  </si>
  <si>
    <t>SECRETARIA DE INFRAESTRUCTURA FISICA</t>
  </si>
  <si>
    <t>ACTA N°:</t>
  </si>
  <si>
    <t>VALOR TOTAL DEL CONTRATO</t>
  </si>
  <si>
    <t>PERIODO DE EJECUCION</t>
  </si>
  <si>
    <t>CONTRATO N°:</t>
  </si>
  <si>
    <t>CONTRATISTA:</t>
  </si>
  <si>
    <t>FECHA DE INICIO:</t>
  </si>
  <si>
    <t>NIT:</t>
  </si>
  <si>
    <t>AMPLIACION # 1</t>
  </si>
  <si>
    <t>PLAZO:</t>
  </si>
  <si>
    <t>ADICION #1</t>
  </si>
  <si>
    <t>OBJETO DEL CONTRATO:</t>
  </si>
  <si>
    <t>CONDICIONES ORIGINALES</t>
  </si>
  <si>
    <t xml:space="preserve">MODIFICACIÓN N° 1 </t>
  </si>
  <si>
    <t>ADICION 1</t>
  </si>
  <si>
    <t xml:space="preserve">CONDICIONES ACTUALIZADAS </t>
  </si>
  <si>
    <t>EJECUCIÓN TOTAL ACUMULADA</t>
  </si>
  <si>
    <t>DISPONIBLE</t>
  </si>
  <si>
    <t>Descripción</t>
  </si>
  <si>
    <t>UNIDAD</t>
  </si>
  <si>
    <t>Sueldo y/o Tarifa mensual</t>
  </si>
  <si>
    <t>Dedicación Mensual (%)</t>
  </si>
  <si>
    <t>Cant.</t>
  </si>
  <si>
    <t>Duración Total (Meses)</t>
  </si>
  <si>
    <t>Valor Parcial ($)</t>
  </si>
  <si>
    <t>Dedic
 (h-mes)</t>
  </si>
  <si>
    <t>Durac. (Mes)</t>
  </si>
  <si>
    <t>Duración (Mes)</t>
  </si>
  <si>
    <t>Valor Parcial 
($)</t>
  </si>
  <si>
    <t>Duración (Meses)</t>
  </si>
  <si>
    <t>COSTOS DIRECTOS DE PERSONAL</t>
  </si>
  <si>
    <t xml:space="preserve">                  </t>
  </si>
  <si>
    <t>Personal Profesional:</t>
  </si>
  <si>
    <t>Persona</t>
  </si>
  <si>
    <t>Profesional Residente de Interventoría</t>
  </si>
  <si>
    <t>Profesional Ambiental</t>
  </si>
  <si>
    <t>Personal Técnico no Profesional:</t>
  </si>
  <si>
    <t>Provision obras extra</t>
  </si>
  <si>
    <t>Valor estimado para provisión de horas extras del equipo de tecnólogos. Provisión que se utilizará siempre y cuando las horas extras hayan sido debidamente autorizadas por escrito, por parte del Supervisor designado por el Departamento de Antioquia y sólo para los casos en que strictamente se requieran. El valor de la hora se calculará de acuerdo con el salario de los tecnólogos ofrecidos en este formulario por el contratista y el mismo será afectado por el factor multiplicador presentado por éste. Por ningún motivo podrán superar el monto establecido.</t>
  </si>
  <si>
    <t>SUBTOTAL COSTOS DE PERSONAL</t>
  </si>
  <si>
    <t>Factor Multiplicador (FM)</t>
  </si>
  <si>
    <t xml:space="preserve"> COSTOS DE PERSONAL CON FM</t>
  </si>
  <si>
    <t>TOTAL COSTOS DIRECTOS DE PERSONAL (A)</t>
  </si>
  <si>
    <t>OTROS COSTOS DIRECTOS</t>
  </si>
  <si>
    <t>Unidad</t>
  </si>
  <si>
    <t>Día-mes</t>
  </si>
  <si>
    <t xml:space="preserve">Estimado </t>
  </si>
  <si>
    <t>Estimado</t>
  </si>
  <si>
    <t>COSTO DE INTERVENTORÍA (A+B)</t>
  </si>
  <si>
    <t>IVA (19%)</t>
  </si>
  <si>
    <t xml:space="preserve">VALOR TOTAL DE LA INTERVENTORÍA </t>
  </si>
  <si>
    <t>AMORTIZACIÓN ANTICIPO (0%) ANTES DE IVA</t>
  </si>
  <si>
    <t>FECHA DE TERMINACIÓN:</t>
  </si>
  <si>
    <t>N/A</t>
  </si>
  <si>
    <t>Director de Interventoría</t>
  </si>
  <si>
    <t>Tecnólogo Ambiental</t>
  </si>
  <si>
    <t>Profesional SST</t>
  </si>
  <si>
    <t>Tecnólogo SST</t>
  </si>
  <si>
    <t>Profesional Social</t>
  </si>
  <si>
    <t>Tecnólogo en Construcciones Civiles</t>
  </si>
  <si>
    <t>Secretaría</t>
  </si>
  <si>
    <t>VALOR TOTAL</t>
  </si>
  <si>
    <t>4600011655 DE 2021</t>
  </si>
  <si>
    <t>CONSORCIO VIATER</t>
  </si>
  <si>
    <t xml:space="preserve"> “INTERVENTORÍA TÉCNICA, ADMINISTRATIVA, AMBIENTAL, FINANCIERA Y LEGAL PARA EL MEJORAMIENTO DE VÍAS TERCIARIAS DE LOS MUNICIPIOS DEL OCCIDENTE ANTIOQUEÑO.”</t>
  </si>
  <si>
    <t>9 MESES</t>
  </si>
  <si>
    <t>901.455.233-0</t>
  </si>
  <si>
    <t>Valor día</t>
  </si>
  <si>
    <t>No. de dias al mes</t>
  </si>
  <si>
    <t>Plazo-Meses</t>
  </si>
  <si>
    <t>ACTA N° 8 (noviembre 2021)</t>
  </si>
  <si>
    <t>ACTA Nº 9 (diciembre 2021)</t>
  </si>
  <si>
    <t>ACTA Nº 10 (ENERO 2022)</t>
  </si>
  <si>
    <t>ACTA Nº 11 (febrero 2022)</t>
  </si>
  <si>
    <t>ACTA Nº 12 (marzo 2022)</t>
  </si>
  <si>
    <t>ACTA 13 (abril 2022)</t>
  </si>
  <si>
    <t>ACTA 14 (mayo 2022)</t>
  </si>
  <si>
    <t>Gastos de ransporte, Alquiler de Equipo y Otros:</t>
  </si>
  <si>
    <t>Plan de aplicación protocolo sanitario para la obra PAPSO</t>
  </si>
  <si>
    <t>SUB TOTAL OTROS COSTOS DIRECTOS (B)</t>
  </si>
  <si>
    <t xml:space="preserve">
ACTA Nº 1 (marzo 2021)</t>
  </si>
  <si>
    <t xml:space="preserve">
ACTA N° 2 (abril  2021)</t>
  </si>
  <si>
    <t>No. dias mes</t>
  </si>
  <si>
    <t xml:space="preserve">
ACTA N° 3 (mayo de 2021)</t>
  </si>
  <si>
    <t xml:space="preserve"> 
ACTA N° 4 (junio 2021)</t>
  </si>
  <si>
    <t xml:space="preserve">
ACTA N° 5  (agosto 2021)</t>
  </si>
  <si>
    <t>ACTA DE COSTOS No. 7</t>
  </si>
  <si>
    <t>DEL  1 AL 29 DE OCTUBRE DE 2021</t>
  </si>
  <si>
    <t xml:space="preserve">
ACTA N° 6 (septiembre 2021)</t>
  </si>
  <si>
    <t>EJECUCIÓN ACTUAL
ACTA N° 7 (octubre 2021)</t>
  </si>
  <si>
    <t>mes 1</t>
  </si>
  <si>
    <t>mes 2</t>
  </si>
  <si>
    <t>mes 3</t>
  </si>
  <si>
    <t>mes recibo y liquidación</t>
  </si>
  <si>
    <t xml:space="preserve"> TOTAL PRORROGA ACUMULADA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</si>
</sst>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quot;$&quot;#,##0;[Red]\-&quot;$&quot;#,##0"/>
    <numFmt numFmtId="165" formatCode="_-&quot;$&quot;* #,##0_-;\-&quot;$&quot;* #,##0_-;_-&quot;$&quot;* &quot;-&quot;_-;_-@_-"/>
    <numFmt numFmtId="166" formatCode="_-&quot;$&quot;* #,##0.00_-;\-&quot;$&quot;* #,##0.00_-;_-&quot;$&quot;* &quot;-&quot;??_-;_-@_-"/>
    <numFmt numFmtId="167" formatCode="_(* #,##0_);_(* \(#,##0\);_(* &quot;-&quot;_);_(@_)"/>
    <numFmt numFmtId="168" formatCode="_(* #,##0.00_);_(* \(#,##0.00\);_(* &quot;-&quot;??_);_(@_)"/>
    <numFmt numFmtId="169" formatCode="_-&quot;$&quot;* #,##0_-;\-&quot;$&quot;* #,##0_-;_-&quot;$&quot;* &quot;-&quot;??_-;_-@_-"/>
    <numFmt numFmtId="170" formatCode="#,##0.0"/>
    <numFmt numFmtId="171" formatCode="#,##0.00;[Red]#,##0.00"/>
    <numFmt numFmtId="172" formatCode="#,##0.000;[Red]#,##0.000"/>
    <numFmt numFmtId="173" formatCode="#,##0.0000;[Red]#,##0.0000"/>
    <numFmt numFmtId="174" formatCode="#,##0;[Red]#,##0"/>
    <numFmt numFmtId="175" formatCode="0.0%"/>
    <numFmt numFmtId="176" formatCode="#,##0.000"/>
    <numFmt numFmtId="177" formatCode="&quot;$&quot;#,##0"/>
  </numFmts>
  <fonts count="9" x14ac:knownFonts="1">
    <font>
      <sz val="10"/>
      <name val="Arial"/>
      <family val="2"/>
    </font>
    <font>
      <sz val="11"/>
      <color theme="1"/>
      <name val="Calibri"/>
      <family val="2"/>
      <scheme val="minor"/>
    </font>
    <font>
      <sz val="10"/>
      <name val="Arial"/>
      <family val="2"/>
    </font>
    <font>
      <b/>
      <sz val="18"/>
      <name val="Arial"/>
      <family val="2"/>
    </font>
    <font>
      <sz val="18"/>
      <name val="Arial"/>
      <family val="2"/>
    </font>
    <font>
      <b/>
      <sz val="20"/>
      <name val="Arial"/>
      <family val="2"/>
    </font>
    <font>
      <sz val="20"/>
      <name val="Arial"/>
      <family val="2"/>
    </font>
    <font>
      <sz val="22"/>
      <name val="Arial"/>
      <family val="2"/>
    </font>
    <font>
      <b/>
      <sz val="22"/>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166" fontId="1"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0" fontId="2" fillId="0" borderId="0"/>
    <xf numFmtId="165" fontId="2" fillId="0" borderId="0" applyFont="0" applyFill="0" applyBorder="0" applyAlignment="0" applyProtection="0"/>
  </cellStyleXfs>
  <cellXfs count="402">
    <xf numFmtId="0" fontId="0" fillId="0" borderId="0" xfId="0"/>
    <xf numFmtId="0" fontId="4" fillId="0" borderId="0" xfId="0" applyFont="1"/>
    <xf numFmtId="0" fontId="3" fillId="0" borderId="19" xfId="0" applyFont="1" applyBorder="1" applyAlignment="1">
      <alignment vertical="center" wrapText="1"/>
    </xf>
    <xf numFmtId="0" fontId="3" fillId="0" borderId="30" xfId="0" applyFont="1" applyBorder="1" applyAlignment="1">
      <alignment vertical="center" wrapText="1"/>
    </xf>
    <xf numFmtId="0" fontId="3" fillId="0" borderId="0" xfId="0" applyFont="1" applyAlignment="1">
      <alignment vertical="center" wrapText="1"/>
    </xf>
    <xf numFmtId="0" fontId="3" fillId="0" borderId="20" xfId="0" applyFont="1" applyBorder="1" applyAlignment="1">
      <alignment vertical="center" wrapText="1"/>
    </xf>
    <xf numFmtId="0" fontId="7" fillId="0" borderId="15" xfId="0" applyFont="1" applyBorder="1" applyAlignment="1">
      <alignment horizontal="center" vertical="center" wrapText="1"/>
    </xf>
    <xf numFmtId="4" fontId="7" fillId="0" borderId="16" xfId="0" applyNumberFormat="1" applyFont="1" applyBorder="1" applyAlignment="1">
      <alignment horizontal="center" vertical="center" wrapText="1"/>
    </xf>
    <xf numFmtId="3" fontId="7" fillId="0" borderId="16" xfId="0" applyNumberFormat="1" applyFont="1" applyBorder="1" applyAlignment="1">
      <alignment horizontal="right" vertical="center" wrapText="1"/>
    </xf>
    <xf numFmtId="170" fontId="7" fillId="0" borderId="16" xfId="0" applyNumberFormat="1" applyFont="1" applyBorder="1" applyAlignment="1">
      <alignment horizontal="center" vertical="center" wrapText="1"/>
    </xf>
    <xf numFmtId="166" fontId="7" fillId="0" borderId="41" xfId="1" applyFont="1" applyBorder="1" applyAlignment="1" applyProtection="1">
      <alignment horizontal="right" vertical="center"/>
    </xf>
    <xf numFmtId="3" fontId="7" fillId="0" borderId="16"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0" fontId="7" fillId="0" borderId="16" xfId="0" applyFont="1" applyBorder="1" applyAlignment="1">
      <alignment horizontal="center" vertical="center" wrapText="1"/>
    </xf>
    <xf numFmtId="171" fontId="7" fillId="2" borderId="41" xfId="3" applyNumberFormat="1" applyFont="1" applyFill="1" applyBorder="1" applyAlignment="1" applyProtection="1">
      <alignment horizontal="right" vertical="center"/>
    </xf>
    <xf numFmtId="172" fontId="7" fillId="2" borderId="40" xfId="3" applyNumberFormat="1" applyFont="1" applyFill="1" applyBorder="1" applyAlignment="1" applyProtection="1">
      <alignment horizontal="right" vertical="center"/>
    </xf>
    <xf numFmtId="173" fontId="7" fillId="2" borderId="16" xfId="3" applyNumberFormat="1" applyFont="1" applyFill="1" applyBorder="1" applyAlignment="1" applyProtection="1">
      <alignment horizontal="right" vertical="center"/>
    </xf>
    <xf numFmtId="173" fontId="7" fillId="0" borderId="16" xfId="0" applyNumberFormat="1" applyFont="1" applyBorder="1" applyAlignment="1">
      <alignment horizontal="right" vertical="center" wrapText="1"/>
    </xf>
    <xf numFmtId="173" fontId="7" fillId="0" borderId="16" xfId="0" applyNumberFormat="1" applyFont="1" applyBorder="1" applyAlignment="1">
      <alignment horizontal="center" vertical="center" wrapText="1"/>
    </xf>
    <xf numFmtId="171" fontId="7" fillId="2" borderId="16" xfId="3" applyNumberFormat="1" applyFont="1" applyFill="1" applyBorder="1" applyAlignment="1" applyProtection="1">
      <alignment horizontal="right" vertical="center"/>
    </xf>
    <xf numFmtId="4" fontId="7" fillId="2" borderId="16" xfId="3" applyNumberFormat="1" applyFont="1" applyFill="1" applyBorder="1" applyAlignment="1" applyProtection="1">
      <alignment horizontal="center" vertical="center"/>
    </xf>
    <xf numFmtId="174" fontId="4" fillId="0" borderId="0" xfId="0" applyNumberFormat="1" applyFont="1"/>
    <xf numFmtId="174" fontId="8" fillId="2" borderId="41" xfId="4" applyNumberFormat="1" applyFont="1" applyFill="1" applyBorder="1" applyAlignment="1" applyProtection="1">
      <alignment vertical="center"/>
    </xf>
    <xf numFmtId="174" fontId="8" fillId="2" borderId="40" xfId="4" applyNumberFormat="1" applyFont="1" applyFill="1" applyBorder="1" applyAlignment="1" applyProtection="1">
      <alignment vertical="center"/>
    </xf>
    <xf numFmtId="174" fontId="8" fillId="2" borderId="16" xfId="4" applyNumberFormat="1" applyFont="1" applyFill="1" applyBorder="1" applyAlignment="1" applyProtection="1">
      <alignment vertical="center"/>
    </xf>
    <xf numFmtId="3" fontId="7" fillId="2" borderId="16" xfId="3" applyNumberFormat="1" applyFont="1" applyFill="1" applyBorder="1" applyAlignment="1" applyProtection="1">
      <alignment horizontal="center" vertical="center"/>
    </xf>
    <xf numFmtId="4" fontId="7" fillId="2" borderId="16" xfId="4" applyNumberFormat="1" applyFont="1" applyFill="1" applyBorder="1" applyAlignment="1" applyProtection="1">
      <alignment horizontal="center" vertical="center"/>
    </xf>
    <xf numFmtId="174" fontId="7" fillId="2" borderId="41" xfId="4" applyNumberFormat="1" applyFont="1" applyFill="1" applyBorder="1" applyAlignment="1" applyProtection="1">
      <alignment vertical="center"/>
    </xf>
    <xf numFmtId="171" fontId="7" fillId="2" borderId="41" xfId="4" applyNumberFormat="1" applyFont="1" applyFill="1" applyBorder="1" applyAlignment="1" applyProtection="1">
      <alignment vertical="center"/>
    </xf>
    <xf numFmtId="3" fontId="4" fillId="0" borderId="0" xfId="0" applyNumberFormat="1" applyFont="1"/>
    <xf numFmtId="3" fontId="7" fillId="2" borderId="16" xfId="0" applyNumberFormat="1" applyFont="1" applyFill="1" applyBorder="1" applyAlignment="1">
      <alignment horizontal="center" vertical="center" wrapText="1"/>
    </xf>
    <xf numFmtId="4" fontId="7" fillId="2" borderId="16" xfId="0" applyNumberFormat="1" applyFont="1" applyFill="1" applyBorder="1" applyAlignment="1">
      <alignment horizontal="center" vertical="center" wrapText="1"/>
    </xf>
    <xf numFmtId="3" fontId="7" fillId="0" borderId="41" xfId="4" applyNumberFormat="1" applyFont="1" applyBorder="1" applyAlignment="1" applyProtection="1">
      <alignment vertical="center"/>
    </xf>
    <xf numFmtId="3" fontId="7" fillId="0" borderId="41" xfId="4" applyNumberFormat="1" applyFont="1" applyFill="1" applyBorder="1" applyAlignment="1" applyProtection="1">
      <alignment vertical="center"/>
    </xf>
    <xf numFmtId="4" fontId="7" fillId="3" borderId="16" xfId="0" applyNumberFormat="1" applyFont="1" applyFill="1" applyBorder="1" applyAlignment="1">
      <alignment horizontal="center" vertical="center" wrapText="1"/>
    </xf>
    <xf numFmtId="3" fontId="7" fillId="3" borderId="16" xfId="0" applyNumberFormat="1" applyFont="1" applyFill="1" applyBorder="1" applyAlignment="1">
      <alignment horizontal="center" vertical="center" wrapText="1"/>
    </xf>
    <xf numFmtId="4" fontId="7" fillId="0" borderId="16" xfId="3" applyNumberFormat="1" applyFont="1" applyBorder="1" applyAlignment="1" applyProtection="1">
      <alignment vertical="center"/>
    </xf>
    <xf numFmtId="4" fontId="7" fillId="0" borderId="16" xfId="3" applyNumberFormat="1" applyFont="1" applyBorder="1" applyAlignment="1" applyProtection="1">
      <alignment horizontal="center" vertical="center"/>
    </xf>
    <xf numFmtId="3" fontId="7" fillId="0" borderId="16" xfId="3" applyNumberFormat="1" applyFont="1" applyBorder="1" applyAlignment="1" applyProtection="1">
      <alignment horizontal="center" vertical="center"/>
    </xf>
    <xf numFmtId="3" fontId="8" fillId="0" borderId="41" xfId="4" applyNumberFormat="1" applyFont="1" applyBorder="1" applyAlignment="1" applyProtection="1">
      <alignment vertical="center"/>
    </xf>
    <xf numFmtId="4" fontId="7" fillId="0" borderId="40" xfId="3" applyNumberFormat="1" applyFont="1" applyBorder="1" applyAlignment="1" applyProtection="1">
      <alignment vertical="center"/>
    </xf>
    <xf numFmtId="3" fontId="8" fillId="0" borderId="41" xfId="4" applyNumberFormat="1" applyFont="1" applyBorder="1" applyAlignment="1" applyProtection="1">
      <alignment horizontal="right" vertical="center"/>
    </xf>
    <xf numFmtId="4" fontId="7" fillId="0" borderId="44" xfId="3" applyNumberFormat="1" applyFont="1" applyBorder="1" applyAlignment="1" applyProtection="1">
      <alignment vertical="center"/>
    </xf>
    <xf numFmtId="0" fontId="7" fillId="3" borderId="0" xfId="0" applyFont="1" applyFill="1"/>
    <xf numFmtId="3" fontId="8" fillId="3" borderId="16" xfId="0" applyNumberFormat="1" applyFont="1" applyFill="1" applyBorder="1"/>
    <xf numFmtId="0" fontId="3" fillId="3" borderId="0" xfId="0" applyFont="1" applyFill="1" applyAlignment="1">
      <alignment vertical="center"/>
    </xf>
    <xf numFmtId="0" fontId="3" fillId="3" borderId="0" xfId="0" applyFont="1" applyFill="1"/>
    <xf numFmtId="0" fontId="4" fillId="3" borderId="0" xfId="0" applyFont="1" applyFill="1"/>
    <xf numFmtId="3" fontId="3" fillId="3" borderId="0" xfId="0" applyNumberFormat="1" applyFont="1" applyFill="1"/>
    <xf numFmtId="3" fontId="3" fillId="3" borderId="0" xfId="0" applyNumberFormat="1" applyFont="1" applyFill="1" applyAlignment="1">
      <alignment horizontal="right" vertical="center" wrapText="1"/>
    </xf>
    <xf numFmtId="174" fontId="4" fillId="3" borderId="0" xfId="0" applyNumberFormat="1" applyFont="1" applyFill="1"/>
    <xf numFmtId="175" fontId="3" fillId="3" borderId="0" xfId="2" applyNumberFormat="1" applyFont="1" applyFill="1" applyBorder="1" applyAlignment="1" applyProtection="1">
      <alignment horizontal="right" vertical="center" wrapText="1"/>
    </xf>
    <xf numFmtId="176" fontId="3" fillId="3" borderId="0" xfId="0" applyNumberFormat="1" applyFont="1" applyFill="1" applyAlignment="1">
      <alignment horizontal="right" vertical="center" wrapText="1"/>
    </xf>
    <xf numFmtId="0" fontId="4" fillId="3" borderId="17" xfId="0" applyFont="1" applyFill="1" applyBorder="1"/>
    <xf numFmtId="174" fontId="4" fillId="3" borderId="17" xfId="0" applyNumberFormat="1" applyFont="1" applyFill="1" applyBorder="1"/>
    <xf numFmtId="0" fontId="4" fillId="3" borderId="0" xfId="0" applyFont="1" applyFill="1" applyAlignment="1">
      <alignment horizontal="left"/>
    </xf>
    <xf numFmtId="3" fontId="4" fillId="3" borderId="0" xfId="0" applyNumberFormat="1" applyFont="1" applyFill="1"/>
    <xf numFmtId="3" fontId="4" fillId="0" borderId="0" xfId="0" applyNumberFormat="1" applyFont="1" applyAlignment="1">
      <alignment horizontal="center" wrapText="1"/>
    </xf>
    <xf numFmtId="4" fontId="4" fillId="0" borderId="0" xfId="0" applyNumberFormat="1" applyFont="1" applyAlignment="1">
      <alignment horizontal="center" wrapText="1"/>
    </xf>
    <xf numFmtId="0" fontId="3" fillId="0" borderId="0" xfId="0" applyFont="1" applyAlignment="1">
      <alignment horizontal="center" wrapText="1"/>
    </xf>
    <xf numFmtId="3" fontId="3" fillId="0" borderId="0" xfId="0" applyNumberFormat="1" applyFont="1" applyAlignment="1">
      <alignment horizontal="center" wrapText="1"/>
    </xf>
    <xf numFmtId="3" fontId="4" fillId="0" borderId="0" xfId="0" applyNumberFormat="1" applyFont="1" applyAlignment="1">
      <alignment horizontal="center"/>
    </xf>
    <xf numFmtId="0" fontId="4" fillId="0" borderId="0" xfId="0" applyFont="1" applyAlignment="1">
      <alignment horizontal="center"/>
    </xf>
    <xf numFmtId="9" fontId="7" fillId="0" borderId="16" xfId="2" applyFont="1" applyBorder="1" applyAlignment="1">
      <alignment horizontal="center" vertical="center" wrapText="1"/>
    </xf>
    <xf numFmtId="9" fontId="8" fillId="0" borderId="16" xfId="2" applyFont="1" applyBorder="1" applyAlignment="1" applyProtection="1">
      <alignment vertical="center" wrapText="1"/>
    </xf>
    <xf numFmtId="3" fontId="8" fillId="2" borderId="16"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8" fillId="0" borderId="16" xfId="0" applyNumberFormat="1" applyFont="1" applyBorder="1" applyAlignment="1">
      <alignment horizontal="center" vertical="center" wrapText="1"/>
    </xf>
    <xf numFmtId="3" fontId="8" fillId="0" borderId="16" xfId="0" applyNumberFormat="1" applyFont="1" applyBorder="1" applyAlignment="1">
      <alignment horizontal="right" vertical="center" wrapText="1"/>
    </xf>
    <xf numFmtId="3" fontId="8" fillId="0" borderId="16" xfId="3" applyNumberFormat="1" applyFont="1" applyBorder="1" applyAlignment="1" applyProtection="1">
      <alignment horizontal="center" vertical="center"/>
    </xf>
    <xf numFmtId="4" fontId="8" fillId="0" borderId="16" xfId="3" applyNumberFormat="1" applyFont="1" applyBorder="1" applyAlignment="1" applyProtection="1">
      <alignment horizontal="center" vertical="center"/>
    </xf>
    <xf numFmtId="0" fontId="6" fillId="0" borderId="40" xfId="0" applyFont="1" applyBorder="1" applyAlignment="1">
      <alignment vertical="center"/>
    </xf>
    <xf numFmtId="174" fontId="8" fillId="2" borderId="44" xfId="4" applyNumberFormat="1" applyFont="1" applyFill="1" applyBorder="1" applyAlignment="1" applyProtection="1">
      <alignment vertical="center"/>
    </xf>
    <xf numFmtId="3" fontId="7" fillId="2" borderId="44" xfId="3" applyNumberFormat="1" applyFont="1" applyFill="1" applyBorder="1" applyAlignment="1" applyProtection="1">
      <alignment horizontal="center" vertical="center"/>
    </xf>
    <xf numFmtId="4" fontId="7" fillId="2" borderId="44" xfId="4" applyNumberFormat="1" applyFont="1" applyFill="1" applyBorder="1" applyAlignment="1" applyProtection="1">
      <alignment horizontal="center" vertical="center"/>
    </xf>
    <xf numFmtId="171" fontId="7" fillId="2" borderId="44" xfId="4" applyNumberFormat="1" applyFont="1" applyFill="1" applyBorder="1" applyAlignment="1" applyProtection="1">
      <alignment horizontal="center" vertical="center"/>
    </xf>
    <xf numFmtId="174" fontId="8" fillId="2" borderId="42" xfId="4" applyNumberFormat="1" applyFont="1" applyFill="1" applyBorder="1" applyAlignment="1" applyProtection="1">
      <alignment vertical="center"/>
    </xf>
    <xf numFmtId="3" fontId="7" fillId="0" borderId="15" xfId="0" applyNumberFormat="1" applyFont="1" applyBorder="1" applyAlignment="1">
      <alignment horizontal="center" vertical="center" wrapText="1"/>
    </xf>
    <xf numFmtId="3" fontId="7" fillId="0" borderId="41" xfId="0" applyNumberFormat="1" applyFont="1" applyBorder="1" applyAlignment="1">
      <alignment horizontal="right" vertical="center"/>
    </xf>
    <xf numFmtId="3" fontId="8" fillId="2" borderId="16" xfId="0" applyNumberFormat="1" applyFont="1" applyFill="1" applyBorder="1" applyAlignment="1">
      <alignment horizontal="right" vertical="center"/>
    </xf>
    <xf numFmtId="3" fontId="7" fillId="2" borderId="16" xfId="0" applyNumberFormat="1" applyFont="1" applyFill="1" applyBorder="1" applyAlignment="1">
      <alignment horizontal="right" vertical="center"/>
    </xf>
    <xf numFmtId="3" fontId="8" fillId="2" borderId="41" xfId="0" applyNumberFormat="1" applyFont="1" applyFill="1" applyBorder="1" applyAlignment="1">
      <alignment horizontal="right" vertical="center"/>
    </xf>
    <xf numFmtId="0" fontId="7" fillId="0" borderId="16" xfId="5" applyFont="1" applyBorder="1" applyAlignment="1">
      <alignment horizontal="center" vertical="center"/>
    </xf>
    <xf numFmtId="0" fontId="8" fillId="0" borderId="16" xfId="5" applyFont="1" applyBorder="1" applyAlignment="1">
      <alignment horizontal="center" vertical="center"/>
    </xf>
    <xf numFmtId="3" fontId="8" fillId="0" borderId="15" xfId="0" applyNumberFormat="1" applyFont="1" applyBorder="1" applyAlignment="1">
      <alignment horizontal="right" vertical="center" wrapText="1"/>
    </xf>
    <xf numFmtId="3" fontId="8" fillId="0" borderId="41" xfId="0" applyNumberFormat="1" applyFont="1" applyBorder="1" applyAlignment="1">
      <alignment horizontal="right" vertical="center" wrapText="1"/>
    </xf>
    <xf numFmtId="3" fontId="8" fillId="0" borderId="40" xfId="0" applyNumberFormat="1" applyFont="1" applyBorder="1" applyAlignment="1">
      <alignment horizontal="right" vertical="center" wrapText="1"/>
    </xf>
    <xf numFmtId="3" fontId="8" fillId="0" borderId="43" xfId="0" applyNumberFormat="1" applyFont="1" applyBorder="1" applyAlignment="1">
      <alignment horizontal="right" vertical="center" wrapText="1"/>
    </xf>
    <xf numFmtId="3" fontId="8" fillId="0" borderId="28" xfId="0" applyNumberFormat="1" applyFont="1" applyBorder="1" applyAlignment="1">
      <alignment horizontal="right" vertical="center" wrapText="1"/>
    </xf>
    <xf numFmtId="3" fontId="8" fillId="0" borderId="44" xfId="0" applyNumberFormat="1" applyFont="1" applyBorder="1" applyAlignment="1">
      <alignment horizontal="right" vertical="center" wrapText="1"/>
    </xf>
    <xf numFmtId="3" fontId="8" fillId="0" borderId="42" xfId="0" applyNumberFormat="1" applyFont="1" applyBorder="1" applyAlignment="1">
      <alignment horizontal="right" vertical="center" wrapText="1"/>
    </xf>
    <xf numFmtId="3" fontId="8" fillId="3" borderId="0" xfId="0" applyNumberFormat="1" applyFont="1" applyFill="1" applyAlignment="1">
      <alignment horizontal="right" vertical="center" wrapText="1"/>
    </xf>
    <xf numFmtId="0" fontId="3" fillId="0" borderId="31" xfId="0" applyFont="1" applyBorder="1" applyAlignment="1">
      <alignment horizontal="center" vertical="center"/>
    </xf>
    <xf numFmtId="0" fontId="3" fillId="0" borderId="34" xfId="0" applyFont="1" applyBorder="1" applyAlignment="1">
      <alignment horizontal="center" vertical="center"/>
    </xf>
    <xf numFmtId="3" fontId="3" fillId="0" borderId="34" xfId="0" applyNumberFormat="1" applyFont="1" applyBorder="1" applyAlignment="1">
      <alignment horizontal="center" vertical="center" wrapText="1"/>
    </xf>
    <xf numFmtId="4" fontId="3" fillId="0" borderId="34"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3" fontId="3" fillId="0" borderId="32" xfId="0" applyNumberFormat="1" applyFont="1" applyBorder="1" applyAlignment="1">
      <alignment horizontal="center" vertical="center" wrapText="1"/>
    </xf>
    <xf numFmtId="4" fontId="3" fillId="0" borderId="32" xfId="0" applyNumberFormat="1" applyFont="1" applyBorder="1" applyAlignment="1">
      <alignment horizontal="center" vertical="center" wrapText="1"/>
    </xf>
    <xf numFmtId="0" fontId="3" fillId="0" borderId="32" xfId="0" applyFont="1" applyBorder="1" applyAlignment="1">
      <alignment horizontal="center" vertical="center"/>
    </xf>
    <xf numFmtId="4" fontId="3" fillId="0" borderId="33" xfId="0" applyNumberFormat="1" applyFont="1" applyBorder="1" applyAlignment="1">
      <alignment horizontal="center" vertical="center" wrapText="1"/>
    </xf>
    <xf numFmtId="4" fontId="3" fillId="0" borderId="31" xfId="0" applyNumberFormat="1" applyFont="1" applyBorder="1" applyAlignment="1">
      <alignment horizontal="center" vertical="center" wrapText="1"/>
    </xf>
    <xf numFmtId="3" fontId="3" fillId="0" borderId="10" xfId="0" applyNumberFormat="1" applyFont="1" applyBorder="1" applyAlignment="1">
      <alignment horizontal="left" vertical="center" wrapText="1"/>
    </xf>
    <xf numFmtId="3" fontId="3" fillId="0" borderId="11" xfId="0" applyNumberFormat="1" applyFont="1" applyBorder="1" applyAlignment="1">
      <alignment horizontal="left" vertical="center" wrapText="1"/>
    </xf>
    <xf numFmtId="3" fontId="3" fillId="0" borderId="36" xfId="0" applyNumberFormat="1" applyFont="1" applyBorder="1" applyAlignment="1">
      <alignment horizontal="left" vertical="center" wrapText="1"/>
    </xf>
    <xf numFmtId="3" fontId="3" fillId="0" borderId="9" xfId="0" applyNumberFormat="1" applyFont="1" applyBorder="1" applyAlignment="1">
      <alignment horizontal="left" vertical="center" wrapText="1"/>
    </xf>
    <xf numFmtId="4" fontId="4" fillId="0" borderId="37" xfId="0" applyNumberFormat="1" applyFont="1" applyBorder="1" applyAlignment="1">
      <alignment horizontal="center" vertical="center" wrapText="1"/>
    </xf>
    <xf numFmtId="4" fontId="4" fillId="0" borderId="38" xfId="0" applyNumberFormat="1" applyFont="1" applyBorder="1" applyAlignment="1">
      <alignment horizontal="center" vertical="center" wrapText="1"/>
    </xf>
    <xf numFmtId="4" fontId="4" fillId="0" borderId="8" xfId="0" applyNumberFormat="1" applyFont="1" applyBorder="1" applyAlignment="1">
      <alignment horizontal="right" vertical="center" wrapText="1"/>
    </xf>
    <xf numFmtId="4" fontId="4" fillId="0" borderId="39" xfId="0" applyNumberFormat="1" applyFont="1" applyBorder="1" applyAlignment="1">
      <alignment horizontal="center" vertical="center" wrapText="1"/>
    </xf>
    <xf numFmtId="4" fontId="4" fillId="0" borderId="39" xfId="0" applyNumberFormat="1" applyFont="1" applyBorder="1" applyAlignment="1">
      <alignment horizontal="right" vertical="center" wrapText="1"/>
    </xf>
    <xf numFmtId="3" fontId="5" fillId="0" borderId="40" xfId="0" applyNumberFormat="1" applyFont="1" applyBorder="1" applyAlignment="1">
      <alignment horizontal="left" vertical="center" wrapText="1"/>
    </xf>
    <xf numFmtId="4" fontId="6" fillId="0" borderId="40" xfId="0" applyNumberFormat="1" applyFont="1" applyBorder="1" applyAlignment="1">
      <alignment horizontal="center" vertical="center" wrapText="1"/>
    </xf>
    <xf numFmtId="4" fontId="6" fillId="0" borderId="15" xfId="0" applyNumberFormat="1" applyFont="1" applyBorder="1" applyAlignment="1">
      <alignment horizontal="center" vertical="center" wrapText="1"/>
    </xf>
    <xf numFmtId="4" fontId="6" fillId="0" borderId="16" xfId="0" applyNumberFormat="1" applyFont="1" applyBorder="1" applyAlignment="1">
      <alignment horizontal="center" vertical="center" wrapText="1"/>
    </xf>
    <xf numFmtId="4" fontId="6" fillId="0" borderId="41" xfId="0" applyNumberFormat="1" applyFont="1" applyBorder="1" applyAlignment="1">
      <alignment horizontal="center" vertical="center" wrapText="1"/>
    </xf>
    <xf numFmtId="4" fontId="6" fillId="0" borderId="13" xfId="0" applyNumberFormat="1" applyFont="1" applyBorder="1" applyAlignment="1">
      <alignment horizontal="center" vertical="center" wrapText="1"/>
    </xf>
    <xf numFmtId="3" fontId="6" fillId="0" borderId="16" xfId="0" applyNumberFormat="1" applyFont="1" applyBorder="1" applyAlignment="1">
      <alignment horizontal="center" vertical="center" wrapText="1"/>
    </xf>
    <xf numFmtId="4" fontId="6" fillId="0" borderId="41" xfId="0" applyNumberFormat="1" applyFont="1" applyBorder="1" applyAlignment="1">
      <alignment horizontal="right" vertical="center" wrapText="1"/>
    </xf>
    <xf numFmtId="4" fontId="7" fillId="0" borderId="15" xfId="0" applyNumberFormat="1" applyFont="1" applyBorder="1" applyAlignment="1">
      <alignment horizontal="center" vertical="center" wrapText="1"/>
    </xf>
    <xf numFmtId="3" fontId="7" fillId="0" borderId="41" xfId="0" applyNumberFormat="1" applyFont="1" applyBorder="1" applyAlignment="1">
      <alignment horizontal="right" vertical="center" wrapText="1"/>
    </xf>
    <xf numFmtId="4" fontId="7" fillId="0" borderId="40" xfId="0" applyNumberFormat="1" applyFont="1" applyBorder="1" applyAlignment="1">
      <alignment horizontal="center" vertical="center" wrapText="1"/>
    </xf>
    <xf numFmtId="3" fontId="7" fillId="0" borderId="16" xfId="0" applyNumberFormat="1" applyFont="1" applyBorder="1" applyAlignment="1">
      <alignment horizontal="right" vertical="center"/>
    </xf>
    <xf numFmtId="3" fontId="5" fillId="0" borderId="40" xfId="0" applyNumberFormat="1" applyFont="1" applyBorder="1" applyAlignment="1">
      <alignment vertical="center" wrapText="1"/>
    </xf>
    <xf numFmtId="3" fontId="8" fillId="0" borderId="16" xfId="0" applyNumberFormat="1" applyFont="1" applyBorder="1" applyAlignment="1">
      <alignment vertical="center" wrapText="1"/>
    </xf>
    <xf numFmtId="3" fontId="7" fillId="0" borderId="40" xfId="0" applyNumberFormat="1" applyFont="1" applyBorder="1" applyAlignment="1">
      <alignment horizontal="center" vertical="center" wrapText="1"/>
    </xf>
    <xf numFmtId="3" fontId="7" fillId="0" borderId="40" xfId="0" applyNumberFormat="1" applyFont="1" applyBorder="1" applyAlignment="1">
      <alignment horizontal="right" vertical="center" wrapText="1"/>
    </xf>
    <xf numFmtId="3" fontId="8" fillId="2" borderId="40" xfId="0" applyNumberFormat="1" applyFont="1" applyFill="1" applyBorder="1" applyAlignment="1">
      <alignment horizontal="right" vertical="center"/>
    </xf>
    <xf numFmtId="3" fontId="8" fillId="0" borderId="41" xfId="0" applyNumberFormat="1" applyFont="1" applyBorder="1" applyAlignment="1">
      <alignment horizontal="right" vertical="center"/>
    </xf>
    <xf numFmtId="4" fontId="7" fillId="2" borderId="16" xfId="0" applyNumberFormat="1" applyFont="1" applyFill="1" applyBorder="1" applyAlignment="1">
      <alignment horizontal="center" vertical="center"/>
    </xf>
    <xf numFmtId="172" fontId="7" fillId="0" borderId="40" xfId="0" applyNumberFormat="1" applyFont="1" applyBorder="1" applyAlignment="1">
      <alignment horizontal="center" vertical="center" wrapText="1"/>
    </xf>
    <xf numFmtId="3" fontId="6" fillId="0" borderId="40" xfId="0" applyNumberFormat="1" applyFont="1" applyBorder="1" applyAlignment="1">
      <alignment horizontal="justify" vertical="center" wrapText="1"/>
    </xf>
    <xf numFmtId="3" fontId="8" fillId="0" borderId="29" xfId="0" applyNumberFormat="1" applyFont="1" applyBorder="1" applyAlignment="1">
      <alignment horizontal="right" vertical="center" wrapText="1"/>
    </xf>
    <xf numFmtId="3" fontId="8" fillId="0" borderId="43" xfId="0" applyNumberFormat="1" applyFont="1" applyBorder="1" applyAlignment="1">
      <alignment horizontal="center" vertical="center" wrapText="1"/>
    </xf>
    <xf numFmtId="4" fontId="7" fillId="0" borderId="28" xfId="0" applyNumberFormat="1" applyFont="1" applyBorder="1" applyAlignment="1">
      <alignment horizontal="center" vertical="center" wrapText="1"/>
    </xf>
    <xf numFmtId="4" fontId="7" fillId="0" borderId="43" xfId="0" applyNumberFormat="1" applyFont="1" applyBorder="1" applyAlignment="1">
      <alignment horizontal="center" vertical="center" wrapText="1"/>
    </xf>
    <xf numFmtId="0" fontId="6" fillId="0" borderId="16" xfId="5" applyFont="1" applyBorder="1" applyAlignment="1">
      <alignment horizontal="justify" vertical="center" wrapText="1"/>
    </xf>
    <xf numFmtId="3" fontId="7" fillId="3" borderId="41" xfId="0" applyNumberFormat="1" applyFont="1" applyFill="1" applyBorder="1" applyAlignment="1">
      <alignment horizontal="right" vertical="center"/>
    </xf>
    <xf numFmtId="3" fontId="8" fillId="3" borderId="16" xfId="0" applyNumberFormat="1" applyFont="1" applyFill="1" applyBorder="1" applyAlignment="1">
      <alignment horizontal="right" vertical="center" wrapText="1"/>
    </xf>
    <xf numFmtId="171" fontId="7" fillId="0" borderId="16" xfId="0" applyNumberFormat="1" applyFont="1" applyBorder="1" applyAlignment="1">
      <alignment horizontal="center" vertical="center" wrapText="1"/>
    </xf>
    <xf numFmtId="0" fontId="5" fillId="0" borderId="16" xfId="5" applyFont="1" applyBorder="1" applyAlignment="1">
      <alignment horizontal="justify" vertical="center" wrapText="1"/>
    </xf>
    <xf numFmtId="3" fontId="8" fillId="0" borderId="16" xfId="0" applyNumberFormat="1" applyFont="1" applyBorder="1" applyAlignment="1">
      <alignment horizontal="center" vertical="center" wrapText="1"/>
    </xf>
    <xf numFmtId="171" fontId="8" fillId="0" borderId="16"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 fontId="7" fillId="0" borderId="16" xfId="0" applyNumberFormat="1" applyFont="1" applyBorder="1" applyAlignment="1">
      <alignment vertical="center"/>
    </xf>
    <xf numFmtId="171" fontId="8" fillId="0" borderId="16" xfId="0" applyNumberFormat="1" applyFont="1" applyBorder="1" applyAlignment="1">
      <alignment horizontal="right" vertical="center" wrapText="1"/>
    </xf>
    <xf numFmtId="4" fontId="7" fillId="0" borderId="44" xfId="0" applyNumberFormat="1" applyFont="1" applyBorder="1" applyAlignment="1">
      <alignment vertical="center"/>
    </xf>
    <xf numFmtId="171" fontId="8" fillId="0" borderId="44" xfId="0" applyNumberFormat="1" applyFont="1" applyBorder="1" applyAlignment="1">
      <alignment horizontal="right" vertical="center" wrapText="1"/>
    </xf>
    <xf numFmtId="3" fontId="8" fillId="0" borderId="28" xfId="0" applyNumberFormat="1" applyFont="1" applyBorder="1" applyAlignment="1">
      <alignment horizontal="center" vertical="center" wrapText="1"/>
    </xf>
    <xf numFmtId="0" fontId="4" fillId="3" borderId="45" xfId="0" applyFont="1" applyFill="1" applyBorder="1"/>
    <xf numFmtId="173" fontId="4" fillId="3" borderId="0" xfId="0" applyNumberFormat="1" applyFont="1" applyFill="1"/>
    <xf numFmtId="0" fontId="3" fillId="3" borderId="45" xfId="0" applyFont="1" applyFill="1" applyBorder="1"/>
    <xf numFmtId="174" fontId="4" fillId="3" borderId="45" xfId="0" applyNumberFormat="1" applyFont="1" applyFill="1" applyBorder="1"/>
    <xf numFmtId="3" fontId="3" fillId="0" borderId="12" xfId="0" applyNumberFormat="1" applyFont="1" applyBorder="1" applyAlignment="1">
      <alignment vertical="center" wrapText="1"/>
    </xf>
    <xf numFmtId="3" fontId="3" fillId="0" borderId="13" xfId="0" applyNumberFormat="1" applyFont="1" applyBorder="1" applyAlignment="1">
      <alignment vertical="center" wrapText="1"/>
    </xf>
    <xf numFmtId="3" fontId="3" fillId="0" borderId="21" xfId="0" applyNumberFormat="1" applyFont="1" applyBorder="1" applyAlignment="1">
      <alignment vertical="center" wrapText="1"/>
    </xf>
    <xf numFmtId="4" fontId="8" fillId="0" borderId="15" xfId="0" applyNumberFormat="1" applyFont="1" applyBorder="1" applyAlignment="1">
      <alignment horizontal="center" vertical="center" wrapText="1"/>
    </xf>
    <xf numFmtId="4" fontId="7" fillId="3" borderId="15" xfId="0" applyNumberFormat="1" applyFont="1" applyFill="1" applyBorder="1" applyAlignment="1">
      <alignment horizontal="center" vertical="center" wrapText="1"/>
    </xf>
    <xf numFmtId="4" fontId="7" fillId="2" borderId="35" xfId="0" applyNumberFormat="1" applyFont="1" applyFill="1" applyBorder="1" applyAlignment="1">
      <alignment horizontal="center" vertical="center" wrapText="1"/>
    </xf>
    <xf numFmtId="4" fontId="7" fillId="2" borderId="11" xfId="0" applyNumberFormat="1" applyFont="1" applyFill="1" applyBorder="1" applyAlignment="1">
      <alignment horizontal="center" vertical="center" wrapText="1"/>
    </xf>
    <xf numFmtId="4" fontId="7" fillId="2" borderId="40" xfId="0" applyNumberFormat="1" applyFont="1" applyFill="1" applyBorder="1" applyAlignment="1">
      <alignment horizontal="center" vertical="center" wrapText="1"/>
    </xf>
    <xf numFmtId="4" fontId="8" fillId="2" borderId="40" xfId="0" applyNumberFormat="1" applyFont="1" applyFill="1" applyBorder="1" applyAlignment="1">
      <alignment horizontal="center" vertical="center" wrapText="1"/>
    </xf>
    <xf numFmtId="174" fontId="7" fillId="2" borderId="36" xfId="4" applyNumberFormat="1" applyFont="1" applyFill="1" applyBorder="1" applyAlignment="1" applyProtection="1">
      <alignment vertical="center"/>
    </xf>
    <xf numFmtId="4" fontId="7" fillId="0" borderId="43" xfId="3" applyNumberFormat="1" applyFont="1" applyBorder="1" applyAlignment="1" applyProtection="1">
      <alignment vertical="center"/>
    </xf>
    <xf numFmtId="3" fontId="4" fillId="0" borderId="24" xfId="0" applyNumberFormat="1" applyFont="1" applyBorder="1" applyAlignment="1">
      <alignment vertical="center" wrapText="1"/>
    </xf>
    <xf numFmtId="3" fontId="4" fillId="0" borderId="17" xfId="0" applyNumberFormat="1" applyFont="1" applyBorder="1" applyAlignment="1">
      <alignment vertical="center" wrapText="1"/>
    </xf>
    <xf numFmtId="3" fontId="4" fillId="0" borderId="18" xfId="0" applyNumberFormat="1" applyFont="1" applyBorder="1" applyAlignment="1">
      <alignment vertical="center" wrapText="1"/>
    </xf>
    <xf numFmtId="4" fontId="7" fillId="4" borderId="16" xfId="0" applyNumberFormat="1" applyFont="1" applyFill="1" applyBorder="1" applyAlignment="1">
      <alignment horizontal="center" vertical="center" wrapText="1"/>
    </xf>
    <xf numFmtId="3" fontId="7" fillId="4" borderId="41" xfId="0" applyNumberFormat="1" applyFont="1" applyFill="1" applyBorder="1" applyAlignment="1">
      <alignment horizontal="right" vertical="center"/>
    </xf>
    <xf numFmtId="4" fontId="7" fillId="4" borderId="15" xfId="0" applyNumberFormat="1" applyFont="1" applyFill="1" applyBorder="1" applyAlignment="1">
      <alignment horizontal="center" vertical="center" wrapText="1"/>
    </xf>
    <xf numFmtId="0" fontId="4" fillId="0" borderId="0" xfId="0" applyFont="1" applyAlignment="1">
      <alignment vertical="center"/>
    </xf>
    <xf numFmtId="169" fontId="4" fillId="0" borderId="0" xfId="0" applyNumberFormat="1" applyFont="1" applyAlignment="1">
      <alignment vertical="center"/>
    </xf>
    <xf numFmtId="166" fontId="4" fillId="0" borderId="0" xfId="0" applyNumberFormat="1" applyFont="1"/>
    <xf numFmtId="174" fontId="4" fillId="0" borderId="0" xfId="0" applyNumberFormat="1" applyFont="1" applyAlignment="1">
      <alignment horizontal="center" vertical="center"/>
    </xf>
    <xf numFmtId="0" fontId="3" fillId="0" borderId="0" xfId="0" applyFont="1"/>
    <xf numFmtId="17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3" fontId="8" fillId="0" borderId="15" xfId="0" applyNumberFormat="1" applyFont="1" applyBorder="1" applyAlignment="1">
      <alignment vertical="center" wrapText="1"/>
    </xf>
    <xf numFmtId="3" fontId="7" fillId="0" borderId="15" xfId="0" applyNumberFormat="1" applyFont="1" applyBorder="1" applyAlignment="1">
      <alignment horizontal="right" vertical="center" wrapText="1"/>
    </xf>
    <xf numFmtId="3" fontId="8" fillId="2" borderId="15" xfId="0" applyNumberFormat="1" applyFont="1" applyFill="1" applyBorder="1" applyAlignment="1">
      <alignment horizontal="right" vertical="center"/>
    </xf>
    <xf numFmtId="172" fontId="7" fillId="2" borderId="15" xfId="3" applyNumberFormat="1" applyFont="1" applyFill="1" applyBorder="1" applyAlignment="1" applyProtection="1">
      <alignment horizontal="right" vertical="center"/>
    </xf>
    <xf numFmtId="174" fontId="8" fillId="2" borderId="15" xfId="4" applyNumberFormat="1" applyFont="1" applyFill="1" applyBorder="1" applyAlignment="1" applyProtection="1">
      <alignment vertical="center"/>
    </xf>
    <xf numFmtId="3" fontId="8" fillId="0" borderId="41" xfId="0" applyNumberFormat="1" applyFont="1" applyBorder="1" applyAlignment="1">
      <alignment vertical="center" wrapText="1"/>
    </xf>
    <xf numFmtId="3" fontId="3" fillId="0" borderId="46" xfId="0" applyNumberFormat="1" applyFont="1" applyBorder="1" applyAlignment="1">
      <alignment horizontal="left" vertical="center" wrapText="1"/>
    </xf>
    <xf numFmtId="4" fontId="6" fillId="0" borderId="14" xfId="0" applyNumberFormat="1" applyFont="1" applyBorder="1" applyAlignment="1">
      <alignment horizontal="center" vertical="center" wrapText="1"/>
    </xf>
    <xf numFmtId="3" fontId="7" fillId="0" borderId="14" xfId="0" applyNumberFormat="1" applyFont="1" applyBorder="1" applyAlignment="1">
      <alignment horizontal="right" vertical="center"/>
    </xf>
    <xf numFmtId="3" fontId="8" fillId="0" borderId="14" xfId="0" applyNumberFormat="1" applyFont="1" applyBorder="1" applyAlignment="1">
      <alignment vertical="center" wrapText="1"/>
    </xf>
    <xf numFmtId="3" fontId="7" fillId="0" borderId="14" xfId="0" applyNumberFormat="1" applyFont="1" applyBorder="1" applyAlignment="1">
      <alignment horizontal="right" vertical="center" wrapText="1"/>
    </xf>
    <xf numFmtId="3" fontId="8" fillId="2" borderId="14" xfId="0" applyNumberFormat="1" applyFont="1" applyFill="1" applyBorder="1" applyAlignment="1">
      <alignment horizontal="right" vertical="center"/>
    </xf>
    <xf numFmtId="171" fontId="7" fillId="2" borderId="14" xfId="3" applyNumberFormat="1" applyFont="1" applyFill="1" applyBorder="1" applyAlignment="1" applyProtection="1">
      <alignment horizontal="right" vertical="center"/>
    </xf>
    <xf numFmtId="3" fontId="8" fillId="0" borderId="27" xfId="0" applyNumberFormat="1" applyFont="1" applyBorder="1" applyAlignment="1">
      <alignment horizontal="right" vertical="center" wrapText="1"/>
    </xf>
    <xf numFmtId="3" fontId="3" fillId="0" borderId="35" xfId="0" applyNumberFormat="1" applyFont="1" applyBorder="1" applyAlignment="1">
      <alignment horizontal="left" vertical="center" wrapText="1"/>
    </xf>
    <xf numFmtId="3" fontId="4" fillId="0" borderId="11" xfId="0" applyNumberFormat="1" applyFont="1" applyBorder="1" applyAlignment="1">
      <alignment horizontal="center" vertical="center" wrapText="1"/>
    </xf>
    <xf numFmtId="4" fontId="4" fillId="0" borderId="11" xfId="0" applyNumberFormat="1" applyFont="1" applyBorder="1" applyAlignment="1">
      <alignment horizontal="center" vertical="center" wrapText="1"/>
    </xf>
    <xf numFmtId="4" fontId="4" fillId="0" borderId="36" xfId="0" applyNumberFormat="1" applyFont="1" applyBorder="1" applyAlignment="1">
      <alignment horizontal="center" vertical="center" wrapText="1"/>
    </xf>
    <xf numFmtId="0" fontId="7" fillId="0" borderId="40" xfId="0" applyFont="1" applyBorder="1" applyAlignment="1">
      <alignment horizontal="center" vertical="center" wrapText="1"/>
    </xf>
    <xf numFmtId="3" fontId="8" fillId="0" borderId="40" xfId="0" applyNumberFormat="1" applyFont="1" applyBorder="1" applyAlignment="1">
      <alignment vertical="center" wrapText="1"/>
    </xf>
    <xf numFmtId="3" fontId="4" fillId="0" borderId="0" xfId="0" applyNumberFormat="1" applyFont="1" applyAlignment="1">
      <alignment vertical="center"/>
    </xf>
    <xf numFmtId="3" fontId="5" fillId="0" borderId="16" xfId="0" applyNumberFormat="1" applyFont="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35" xfId="0" applyFont="1" applyBorder="1" applyAlignment="1">
      <alignment horizontal="left" vertical="center" wrapText="1"/>
    </xf>
    <xf numFmtId="0" fontId="3" fillId="0" borderId="11" xfId="0" applyFont="1" applyBorder="1" applyAlignment="1">
      <alignment horizontal="left" vertical="center" wrapText="1"/>
    </xf>
    <xf numFmtId="0" fontId="4" fillId="0" borderId="4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1" xfId="0" applyFont="1" applyBorder="1" applyAlignment="1">
      <alignment horizontal="left" vertical="center"/>
    </xf>
    <xf numFmtId="177" fontId="4" fillId="0" borderId="46" xfId="6" applyNumberFormat="1" applyFont="1" applyBorder="1" applyAlignment="1" applyProtection="1">
      <alignment horizontal="center" vertical="center" wrapText="1"/>
    </xf>
    <xf numFmtId="177" fontId="4" fillId="0" borderId="9" xfId="6" applyNumberFormat="1" applyFont="1" applyBorder="1" applyAlignment="1" applyProtection="1">
      <alignment horizontal="center" vertical="center" wrapText="1"/>
    </xf>
    <xf numFmtId="177" fontId="4" fillId="0" borderId="47" xfId="6" applyNumberFormat="1" applyFont="1" applyBorder="1" applyAlignment="1" applyProtection="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0" xfId="0" applyFont="1" applyBorder="1" applyAlignment="1">
      <alignment horizontal="left" vertical="center" wrapText="1"/>
    </xf>
    <xf numFmtId="0" fontId="3" fillId="0" borderId="16" xfId="0" applyFont="1" applyBorder="1" applyAlignment="1">
      <alignment horizontal="left"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16" xfId="0" applyFont="1" applyBorder="1" applyAlignment="1">
      <alignment horizontal="left" vertical="center"/>
    </xf>
    <xf numFmtId="177" fontId="4" fillId="0" borderId="14" xfId="6" applyNumberFormat="1" applyFont="1" applyBorder="1" applyAlignment="1">
      <alignment horizontal="center" vertical="center" wrapText="1"/>
    </xf>
    <xf numFmtId="177" fontId="4" fillId="0" borderId="13" xfId="6" applyNumberFormat="1" applyFont="1" applyBorder="1" applyAlignment="1">
      <alignment horizontal="center" vertical="center" wrapText="1"/>
    </xf>
    <xf numFmtId="177" fontId="4" fillId="0" borderId="21" xfId="6" applyNumberFormat="1"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14" fontId="4" fillId="0" borderId="14" xfId="0" applyNumberFormat="1" applyFont="1" applyBorder="1" applyAlignment="1">
      <alignment horizontal="center" vertical="center" wrapText="1"/>
    </xf>
    <xf numFmtId="14" fontId="4" fillId="0" borderId="13" xfId="0" applyNumberFormat="1" applyFont="1" applyBorder="1" applyAlignment="1">
      <alignment horizontal="center" vertical="center" wrapText="1"/>
    </xf>
    <xf numFmtId="14" fontId="4" fillId="0" borderId="15" xfId="0" applyNumberFormat="1" applyFont="1" applyBorder="1" applyAlignment="1">
      <alignment horizontal="center" vertical="center" wrapText="1"/>
    </xf>
    <xf numFmtId="0" fontId="4" fillId="0" borderId="21" xfId="0" applyFont="1" applyBorder="1" applyAlignment="1">
      <alignment horizontal="center" vertical="center" wrapText="1"/>
    </xf>
    <xf numFmtId="164" fontId="4" fillId="0" borderId="14" xfId="0" applyNumberFormat="1" applyFont="1" applyBorder="1" applyAlignment="1">
      <alignment horizontal="center" vertical="center" wrapText="1"/>
    </xf>
    <xf numFmtId="164" fontId="4" fillId="0" borderId="13" xfId="0" applyNumberFormat="1" applyFont="1" applyBorder="1" applyAlignment="1">
      <alignment horizontal="center" vertical="center" wrapText="1"/>
    </xf>
    <xf numFmtId="164" fontId="4" fillId="0" borderId="21" xfId="0" applyNumberFormat="1" applyFont="1" applyBorder="1" applyAlignment="1">
      <alignment horizontal="center"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4" fillId="0" borderId="44" xfId="0" applyFont="1" applyBorder="1" applyAlignment="1">
      <alignment horizontal="center" vertical="center" wrapText="1"/>
    </xf>
    <xf numFmtId="0" fontId="4" fillId="0" borderId="42"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2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4" fontId="6" fillId="0" borderId="16" xfId="0" applyNumberFormat="1" applyFont="1" applyBorder="1" applyAlignment="1">
      <alignment horizontal="center" vertical="center" wrapText="1"/>
    </xf>
    <xf numFmtId="4" fontId="6" fillId="0" borderId="41" xfId="0" applyNumberFormat="1" applyFont="1" applyBorder="1" applyAlignment="1">
      <alignment horizontal="center" vertical="center" wrapText="1"/>
    </xf>
    <xf numFmtId="3" fontId="3" fillId="0" borderId="40" xfId="0" applyNumberFormat="1" applyFont="1" applyBorder="1" applyAlignment="1">
      <alignment horizontal="left" vertical="center" wrapText="1"/>
    </xf>
    <xf numFmtId="3" fontId="3" fillId="0" borderId="16" xfId="0" applyNumberFormat="1" applyFont="1" applyBorder="1" applyAlignment="1">
      <alignment horizontal="left" vertical="center" wrapText="1"/>
    </xf>
    <xf numFmtId="3" fontId="3" fillId="0" borderId="35" xfId="0" applyNumberFormat="1" applyFont="1" applyBorder="1" applyAlignment="1">
      <alignment horizontal="left" vertical="center" wrapText="1"/>
    </xf>
    <xf numFmtId="3" fontId="3" fillId="0" borderId="11" xfId="0" applyNumberFormat="1" applyFont="1" applyBorder="1" applyAlignment="1">
      <alignment horizontal="left" vertical="center" wrapText="1"/>
    </xf>
    <xf numFmtId="3" fontId="3" fillId="0" borderId="36" xfId="0" applyNumberFormat="1" applyFont="1" applyBorder="1" applyAlignment="1">
      <alignment horizontal="left" vertical="center" wrapText="1"/>
    </xf>
    <xf numFmtId="3" fontId="3" fillId="0" borderId="43" xfId="0" applyNumberFormat="1" applyFont="1" applyBorder="1" applyAlignment="1">
      <alignment horizontal="left" vertical="center" wrapText="1"/>
    </xf>
    <xf numFmtId="3" fontId="3" fillId="0" borderId="44" xfId="0" applyNumberFormat="1" applyFont="1" applyBorder="1" applyAlignment="1">
      <alignment horizontal="left" vertical="center" wrapText="1"/>
    </xf>
    <xf numFmtId="0" fontId="8" fillId="3" borderId="14" xfId="0" applyFont="1" applyFill="1" applyBorder="1" applyAlignment="1">
      <alignment horizontal="left" vertical="center"/>
    </xf>
    <xf numFmtId="0" fontId="8" fillId="3" borderId="13" xfId="0" applyFont="1" applyFill="1" applyBorder="1" applyAlignment="1">
      <alignment horizontal="left" vertical="center"/>
    </xf>
    <xf numFmtId="0" fontId="8" fillId="3" borderId="15" xfId="0" applyFont="1" applyFill="1" applyBorder="1" applyAlignment="1">
      <alignment horizontal="left" vertical="center"/>
    </xf>
    <xf numFmtId="3" fontId="8" fillId="0" borderId="26" xfId="0" applyNumberFormat="1" applyFont="1" applyBorder="1" applyAlignment="1">
      <alignment horizontal="left" vertical="center" wrapText="1"/>
    </xf>
    <xf numFmtId="3" fontId="8" fillId="0" borderId="27" xfId="0" applyNumberFormat="1" applyFont="1" applyBorder="1" applyAlignment="1">
      <alignment horizontal="left" vertical="center" wrapText="1"/>
    </xf>
    <xf numFmtId="3" fontId="8" fillId="0" borderId="28" xfId="0" applyNumberFormat="1" applyFont="1" applyBorder="1" applyAlignment="1">
      <alignment horizontal="left" vertical="center" wrapText="1"/>
    </xf>
    <xf numFmtId="3" fontId="8" fillId="0" borderId="27" xfId="0" applyNumberFormat="1" applyFont="1" applyBorder="1" applyAlignment="1">
      <alignment horizontal="center" vertical="center" wrapText="1"/>
    </xf>
    <xf numFmtId="3" fontId="8" fillId="0" borderId="28" xfId="0" applyNumberFormat="1" applyFont="1" applyBorder="1" applyAlignment="1">
      <alignment horizontal="center" vertical="center" wrapText="1"/>
    </xf>
    <xf numFmtId="3" fontId="8" fillId="0" borderId="12" xfId="0" applyNumberFormat="1" applyFont="1" applyBorder="1" applyAlignment="1">
      <alignment horizontal="left" vertical="center" wrapText="1"/>
    </xf>
    <xf numFmtId="3" fontId="8" fillId="0" borderId="13" xfId="0" applyNumberFormat="1" applyFont="1" applyBorder="1" applyAlignment="1">
      <alignment horizontal="left" vertical="center" wrapText="1"/>
    </xf>
    <xf numFmtId="3" fontId="8" fillId="0" borderId="15" xfId="0" applyNumberFormat="1" applyFont="1" applyBorder="1" applyAlignment="1">
      <alignment horizontal="left" vertical="center" wrapText="1"/>
    </xf>
    <xf numFmtId="3" fontId="8" fillId="0" borderId="12" xfId="0" applyNumberFormat="1" applyFont="1" applyBorder="1" applyAlignment="1">
      <alignment horizontal="center" vertical="center" wrapText="1"/>
    </xf>
    <xf numFmtId="3" fontId="8" fillId="0" borderId="13" xfId="0" applyNumberFormat="1" applyFont="1" applyBorder="1" applyAlignment="1">
      <alignment horizontal="center" vertical="center" wrapText="1"/>
    </xf>
    <xf numFmtId="3" fontId="8" fillId="0" borderId="15" xfId="0" applyNumberFormat="1" applyFont="1" applyBorder="1" applyAlignment="1">
      <alignment horizontal="center" vertical="center" wrapText="1"/>
    </xf>
    <xf numFmtId="3" fontId="8" fillId="0" borderId="43" xfId="0" applyNumberFormat="1" applyFont="1" applyBorder="1" applyAlignment="1">
      <alignment horizontal="center" vertical="center" wrapText="1"/>
    </xf>
    <xf numFmtId="3" fontId="8" fillId="0" borderId="44" xfId="0" applyNumberFormat="1" applyFont="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4" xfId="0" applyFont="1" applyFill="1" applyBorder="1" applyAlignment="1">
      <alignment horizontal="center" vertical="center"/>
    </xf>
    <xf numFmtId="3" fontId="3" fillId="3" borderId="34" xfId="0" applyNumberFormat="1" applyFont="1" applyFill="1" applyBorder="1" applyAlignment="1">
      <alignment horizontal="center" vertical="center" wrapText="1"/>
    </xf>
    <xf numFmtId="4" fontId="3" fillId="3" borderId="34" xfId="0" applyNumberFormat="1" applyFont="1" applyFill="1" applyBorder="1" applyAlignment="1">
      <alignment horizontal="center" vertical="center" wrapText="1"/>
    </xf>
    <xf numFmtId="4" fontId="3" fillId="3" borderId="4" xfId="0" applyNumberFormat="1" applyFont="1" applyFill="1" applyBorder="1" applyAlignment="1">
      <alignment horizontal="center" vertical="center" wrapText="1"/>
    </xf>
    <xf numFmtId="3" fontId="3" fillId="3" borderId="32" xfId="0" applyNumberFormat="1" applyFont="1" applyFill="1" applyBorder="1" applyAlignment="1">
      <alignment horizontal="center" vertical="center" wrapText="1"/>
    </xf>
    <xf numFmtId="4" fontId="3" fillId="3" borderId="32" xfId="0" applyNumberFormat="1" applyFont="1" applyFill="1" applyBorder="1" applyAlignment="1">
      <alignment horizontal="center" vertical="center" wrapText="1"/>
    </xf>
    <xf numFmtId="0" fontId="3" fillId="3" borderId="32" xfId="0" applyFont="1" applyFill="1" applyBorder="1" applyAlignment="1">
      <alignment horizontal="center" vertical="center"/>
    </xf>
    <xf numFmtId="4" fontId="3" fillId="3" borderId="33" xfId="0" applyNumberFormat="1" applyFont="1" applyFill="1" applyBorder="1" applyAlignment="1">
      <alignment horizontal="center" vertical="center" wrapText="1"/>
    </xf>
    <xf numFmtId="4" fontId="3" fillId="3" borderId="31" xfId="0" applyNumberFormat="1" applyFont="1" applyFill="1" applyBorder="1" applyAlignment="1">
      <alignment horizontal="center" vertical="center" wrapText="1"/>
    </xf>
    <xf numFmtId="3" fontId="3" fillId="3" borderId="35" xfId="0" applyNumberFormat="1" applyFont="1" applyFill="1" applyBorder="1" applyAlignment="1">
      <alignment horizontal="left" vertical="center" wrapText="1"/>
    </xf>
    <xf numFmtId="3" fontId="3" fillId="3" borderId="11" xfId="0" applyNumberFormat="1" applyFont="1" applyFill="1" applyBorder="1" applyAlignment="1">
      <alignment horizontal="left" vertical="center" wrapText="1"/>
    </xf>
    <xf numFmtId="3" fontId="3" fillId="3" borderId="36" xfId="0" applyNumberFormat="1" applyFont="1" applyFill="1" applyBorder="1" applyAlignment="1">
      <alignment horizontal="left" vertical="center" wrapText="1"/>
    </xf>
    <xf numFmtId="3" fontId="3" fillId="3" borderId="10" xfId="0" applyNumberFormat="1" applyFont="1" applyFill="1" applyBorder="1" applyAlignment="1">
      <alignment horizontal="left" vertical="center" wrapText="1"/>
    </xf>
    <xf numFmtId="3" fontId="3" fillId="3" borderId="11" xfId="0" applyNumberFormat="1" applyFont="1" applyFill="1" applyBorder="1" applyAlignment="1">
      <alignment horizontal="left" vertical="center" wrapText="1"/>
    </xf>
    <xf numFmtId="3" fontId="3" fillId="3" borderId="36" xfId="0" applyNumberFormat="1" applyFont="1" applyFill="1" applyBorder="1" applyAlignment="1">
      <alignment horizontal="left" vertical="center" wrapText="1"/>
    </xf>
    <xf numFmtId="3" fontId="3" fillId="3" borderId="9" xfId="0" applyNumberFormat="1" applyFont="1" applyFill="1" applyBorder="1" applyAlignment="1">
      <alignment horizontal="left" vertical="center" wrapText="1"/>
    </xf>
    <xf numFmtId="3" fontId="3" fillId="3" borderId="46" xfId="0" applyNumberFormat="1" applyFont="1" applyFill="1" applyBorder="1" applyAlignment="1">
      <alignment horizontal="left" vertical="center" wrapText="1"/>
    </xf>
    <xf numFmtId="3" fontId="3" fillId="3" borderId="35" xfId="0" applyNumberFormat="1" applyFont="1" applyFill="1" applyBorder="1" applyAlignment="1">
      <alignment horizontal="left" vertical="center" wrapText="1"/>
    </xf>
    <xf numFmtId="3" fontId="4" fillId="3" borderId="11" xfId="0" applyNumberFormat="1" applyFont="1" applyFill="1" applyBorder="1" applyAlignment="1">
      <alignment horizontal="center" vertical="center" wrapText="1"/>
    </xf>
    <xf numFmtId="4" fontId="4" fillId="3" borderId="11" xfId="0" applyNumberFormat="1" applyFont="1" applyFill="1" applyBorder="1" applyAlignment="1">
      <alignment horizontal="center" vertical="center" wrapText="1"/>
    </xf>
    <xf numFmtId="4" fontId="4" fillId="3" borderId="36" xfId="0" applyNumberFormat="1" applyFont="1" applyFill="1" applyBorder="1" applyAlignment="1">
      <alignment horizontal="center" vertical="center" wrapText="1"/>
    </xf>
    <xf numFmtId="4" fontId="4" fillId="3" borderId="38" xfId="0" applyNumberFormat="1" applyFont="1" applyFill="1" applyBorder="1" applyAlignment="1">
      <alignment horizontal="center" vertical="center" wrapText="1"/>
    </xf>
    <xf numFmtId="4" fontId="4" fillId="3" borderId="8" xfId="0" applyNumberFormat="1" applyFont="1" applyFill="1" applyBorder="1" applyAlignment="1">
      <alignment horizontal="right" vertical="center" wrapText="1"/>
    </xf>
    <xf numFmtId="4" fontId="4" fillId="3" borderId="39" xfId="0" applyNumberFormat="1" applyFont="1" applyFill="1" applyBorder="1" applyAlignment="1">
      <alignment horizontal="center" vertical="center" wrapText="1"/>
    </xf>
    <xf numFmtId="3" fontId="5" fillId="3" borderId="40" xfId="0" applyNumberFormat="1" applyFont="1" applyFill="1" applyBorder="1" applyAlignment="1">
      <alignment horizontal="left" vertical="center" wrapText="1"/>
    </xf>
    <xf numFmtId="3" fontId="5" fillId="3" borderId="16" xfId="0" applyNumberFormat="1" applyFont="1" applyFill="1" applyBorder="1" applyAlignment="1">
      <alignment horizontal="left" vertical="center" wrapText="1"/>
    </xf>
    <xf numFmtId="4" fontId="6" fillId="3" borderId="16" xfId="0" applyNumberFormat="1" applyFont="1" applyFill="1" applyBorder="1" applyAlignment="1">
      <alignment horizontal="center" vertical="center" wrapText="1"/>
    </xf>
    <xf numFmtId="4" fontId="6" fillId="3" borderId="41" xfId="0" applyNumberFormat="1" applyFont="1" applyFill="1" applyBorder="1" applyAlignment="1">
      <alignment horizontal="center" vertical="center" wrapText="1"/>
    </xf>
    <xf numFmtId="4" fontId="6" fillId="3" borderId="15" xfId="0" applyNumberFormat="1" applyFont="1" applyFill="1" applyBorder="1" applyAlignment="1">
      <alignment horizontal="center" vertical="center" wrapText="1"/>
    </xf>
    <xf numFmtId="4" fontId="6" fillId="3" borderId="16" xfId="0" applyNumberFormat="1" applyFont="1" applyFill="1" applyBorder="1" applyAlignment="1">
      <alignment horizontal="center" vertical="center" wrapText="1"/>
    </xf>
    <xf numFmtId="4" fontId="6" fillId="3" borderId="41" xfId="0" applyNumberFormat="1" applyFont="1" applyFill="1" applyBorder="1" applyAlignment="1">
      <alignment horizontal="center" vertical="center" wrapText="1"/>
    </xf>
    <xf numFmtId="4" fontId="6" fillId="3" borderId="13" xfId="0" applyNumberFormat="1" applyFont="1" applyFill="1" applyBorder="1" applyAlignment="1">
      <alignment horizontal="center" vertical="center" wrapText="1"/>
    </xf>
    <xf numFmtId="4" fontId="6" fillId="3" borderId="14" xfId="0" applyNumberFormat="1" applyFont="1" applyFill="1" applyBorder="1" applyAlignment="1">
      <alignment horizontal="center" vertical="center" wrapText="1"/>
    </xf>
    <xf numFmtId="4" fontId="6" fillId="3" borderId="40" xfId="0" applyNumberFormat="1" applyFont="1" applyFill="1" applyBorder="1" applyAlignment="1">
      <alignment horizontal="center" vertical="center" wrapText="1"/>
    </xf>
    <xf numFmtId="3" fontId="6" fillId="3" borderId="16" xfId="0" applyNumberFormat="1" applyFont="1" applyFill="1" applyBorder="1" applyAlignment="1">
      <alignment horizontal="center" vertical="center" wrapText="1"/>
    </xf>
    <xf numFmtId="4" fontId="6" fillId="3" borderId="41" xfId="0" applyNumberFormat="1" applyFont="1" applyFill="1" applyBorder="1" applyAlignment="1">
      <alignment horizontal="right" vertical="center" wrapText="1"/>
    </xf>
    <xf numFmtId="0" fontId="6" fillId="3" borderId="40" xfId="0" applyFont="1" applyFill="1" applyBorder="1" applyAlignment="1">
      <alignment vertical="center"/>
    </xf>
    <xf numFmtId="0" fontId="7" fillId="3" borderId="16" xfId="0" applyFont="1" applyFill="1" applyBorder="1" applyAlignment="1">
      <alignment horizontal="center" vertical="center" wrapText="1"/>
    </xf>
    <xf numFmtId="3" fontId="7" fillId="3" borderId="16" xfId="0" applyNumberFormat="1" applyFont="1" applyFill="1" applyBorder="1" applyAlignment="1">
      <alignment horizontal="right" vertical="center"/>
    </xf>
    <xf numFmtId="9" fontId="7" fillId="3" borderId="16" xfId="2" applyFont="1" applyFill="1" applyBorder="1" applyAlignment="1">
      <alignment horizontal="center" vertical="center" wrapText="1"/>
    </xf>
    <xf numFmtId="0" fontId="7" fillId="3" borderId="15" xfId="0" applyFont="1" applyFill="1" applyBorder="1" applyAlignment="1">
      <alignment horizontal="center" vertical="center" wrapText="1"/>
    </xf>
    <xf numFmtId="3" fontId="7" fillId="3" borderId="14" xfId="0" applyNumberFormat="1" applyFont="1" applyFill="1" applyBorder="1" applyAlignment="1">
      <alignment horizontal="right" vertical="center"/>
    </xf>
    <xf numFmtId="0" fontId="7" fillId="3" borderId="40" xfId="0" applyFont="1" applyFill="1" applyBorder="1" applyAlignment="1">
      <alignment horizontal="center" vertical="center" wrapText="1"/>
    </xf>
    <xf numFmtId="3" fontId="7" fillId="3" borderId="41" xfId="0" applyNumberFormat="1" applyFont="1" applyFill="1" applyBorder="1" applyAlignment="1">
      <alignment horizontal="right" vertical="center" wrapText="1"/>
    </xf>
    <xf numFmtId="166" fontId="7" fillId="3" borderId="41" xfId="1" applyFont="1" applyFill="1" applyBorder="1" applyAlignment="1" applyProtection="1">
      <alignment horizontal="right" vertical="center"/>
    </xf>
    <xf numFmtId="3" fontId="5" fillId="3" borderId="40" xfId="0" applyNumberFormat="1" applyFont="1" applyFill="1" applyBorder="1" applyAlignment="1">
      <alignment vertical="center" wrapText="1"/>
    </xf>
    <xf numFmtId="3" fontId="8" fillId="3" borderId="16" xfId="0" applyNumberFormat="1" applyFont="1" applyFill="1" applyBorder="1" applyAlignment="1">
      <alignment vertical="center" wrapText="1"/>
    </xf>
    <xf numFmtId="9" fontId="8" fillId="3" borderId="16" xfId="2" applyFont="1" applyFill="1" applyBorder="1" applyAlignment="1" applyProtection="1">
      <alignment vertical="center" wrapText="1"/>
    </xf>
    <xf numFmtId="3" fontId="8" fillId="3" borderId="41" xfId="0" applyNumberFormat="1" applyFont="1" applyFill="1" applyBorder="1" applyAlignment="1">
      <alignment vertical="center" wrapText="1"/>
    </xf>
    <xf numFmtId="3" fontId="8" fillId="3" borderId="15" xfId="0" applyNumberFormat="1" applyFont="1" applyFill="1" applyBorder="1" applyAlignment="1">
      <alignment vertical="center" wrapText="1"/>
    </xf>
    <xf numFmtId="3" fontId="8" fillId="3" borderId="14" xfId="0" applyNumberFormat="1" applyFont="1" applyFill="1" applyBorder="1" applyAlignment="1">
      <alignment vertical="center" wrapText="1"/>
    </xf>
    <xf numFmtId="3" fontId="8" fillId="3" borderId="40" xfId="0" applyNumberFormat="1" applyFont="1" applyFill="1" applyBorder="1" applyAlignment="1">
      <alignment vertical="center" wrapText="1"/>
    </xf>
    <xf numFmtId="3" fontId="7" fillId="3" borderId="15" xfId="0" applyNumberFormat="1" applyFont="1" applyFill="1" applyBorder="1" applyAlignment="1">
      <alignment horizontal="center" vertical="center" wrapText="1"/>
    </xf>
    <xf numFmtId="3" fontId="7" fillId="3" borderId="14" xfId="0" applyNumberFormat="1" applyFont="1" applyFill="1" applyBorder="1" applyAlignment="1">
      <alignment horizontal="right" vertical="center" wrapText="1"/>
    </xf>
    <xf numFmtId="3" fontId="7" fillId="3" borderId="40" xfId="0" applyNumberFormat="1" applyFont="1" applyFill="1" applyBorder="1" applyAlignment="1">
      <alignment horizontal="center" vertical="center" wrapText="1"/>
    </xf>
    <xf numFmtId="3" fontId="7" fillId="3" borderId="16" xfId="0" applyNumberFormat="1" applyFont="1" applyFill="1" applyBorder="1" applyAlignment="1">
      <alignment horizontal="right" vertical="center" wrapText="1"/>
    </xf>
    <xf numFmtId="3" fontId="7" fillId="3" borderId="15" xfId="0" applyNumberFormat="1" applyFont="1" applyFill="1" applyBorder="1" applyAlignment="1">
      <alignment horizontal="right" vertical="center" wrapText="1"/>
    </xf>
    <xf numFmtId="3" fontId="7" fillId="3" borderId="40" xfId="0" applyNumberFormat="1" applyFont="1" applyFill="1" applyBorder="1" applyAlignment="1">
      <alignment horizontal="right" vertical="center" wrapText="1"/>
    </xf>
    <xf numFmtId="3" fontId="7" fillId="3" borderId="14" xfId="0" applyNumberFormat="1" applyFont="1" applyFill="1" applyBorder="1" applyAlignment="1">
      <alignment horizontal="center" vertical="center" wrapText="1"/>
    </xf>
    <xf numFmtId="3" fontId="3" fillId="3" borderId="40" xfId="0" applyNumberFormat="1" applyFont="1" applyFill="1" applyBorder="1" applyAlignment="1">
      <alignment horizontal="left" vertical="center" wrapText="1"/>
    </xf>
    <xf numFmtId="3" fontId="3" fillId="3" borderId="16" xfId="0" applyNumberFormat="1" applyFont="1" applyFill="1" applyBorder="1" applyAlignment="1">
      <alignment horizontal="left" vertical="center" wrapText="1"/>
    </xf>
    <xf numFmtId="3" fontId="8" fillId="3" borderId="41" xfId="0" applyNumberFormat="1" applyFont="1" applyFill="1" applyBorder="1" applyAlignment="1">
      <alignment horizontal="right" vertical="center"/>
    </xf>
    <xf numFmtId="3" fontId="8" fillId="3" borderId="15" xfId="0" applyNumberFormat="1" applyFont="1" applyFill="1" applyBorder="1" applyAlignment="1">
      <alignment horizontal="right" vertical="center"/>
    </xf>
    <xf numFmtId="3" fontId="8" fillId="3" borderId="16" xfId="0" applyNumberFormat="1" applyFont="1" applyFill="1" applyBorder="1" applyAlignment="1">
      <alignment horizontal="right" vertical="center"/>
    </xf>
    <xf numFmtId="3" fontId="8" fillId="3" borderId="40" xfId="0" applyNumberFormat="1" applyFont="1" applyFill="1" applyBorder="1" applyAlignment="1">
      <alignment horizontal="right" vertical="center"/>
    </xf>
    <xf numFmtId="3" fontId="8" fillId="3" borderId="14" xfId="0" applyNumberFormat="1" applyFont="1" applyFill="1" applyBorder="1" applyAlignment="1">
      <alignment horizontal="right" vertical="center"/>
    </xf>
    <xf numFmtId="170" fontId="7" fillId="3" borderId="16" xfId="0" applyNumberFormat="1" applyFont="1" applyFill="1" applyBorder="1" applyAlignment="1">
      <alignment horizontal="center" vertical="center" wrapText="1"/>
    </xf>
    <xf numFmtId="4" fontId="7" fillId="3" borderId="16" xfId="0" applyNumberFormat="1" applyFont="1" applyFill="1" applyBorder="1" applyAlignment="1">
      <alignment horizontal="center" vertical="center"/>
    </xf>
    <xf numFmtId="171" fontId="7" fillId="3" borderId="41" xfId="3" applyNumberFormat="1" applyFont="1" applyFill="1" applyBorder="1" applyAlignment="1" applyProtection="1">
      <alignment horizontal="right" vertical="center"/>
    </xf>
    <xf numFmtId="172" fontId="7" fillId="3" borderId="15" xfId="3" applyNumberFormat="1" applyFont="1" applyFill="1" applyBorder="1" applyAlignment="1" applyProtection="1">
      <alignment horizontal="right" vertical="center"/>
    </xf>
    <xf numFmtId="173" fontId="7" fillId="3" borderId="16" xfId="3" applyNumberFormat="1" applyFont="1" applyFill="1" applyBorder="1" applyAlignment="1" applyProtection="1">
      <alignment horizontal="right" vertical="center"/>
    </xf>
    <xf numFmtId="172" fontId="7" fillId="3" borderId="40" xfId="3" applyNumberFormat="1" applyFont="1" applyFill="1" applyBorder="1" applyAlignment="1" applyProtection="1">
      <alignment horizontal="right" vertical="center"/>
    </xf>
    <xf numFmtId="171" fontId="7" fillId="3" borderId="14" xfId="3" applyNumberFormat="1" applyFont="1" applyFill="1" applyBorder="1" applyAlignment="1" applyProtection="1">
      <alignment horizontal="right" vertical="center"/>
    </xf>
    <xf numFmtId="173" fontId="7" fillId="3" borderId="16" xfId="0" applyNumberFormat="1" applyFont="1" applyFill="1" applyBorder="1" applyAlignment="1">
      <alignment horizontal="right" vertical="center" wrapText="1"/>
    </xf>
    <xf numFmtId="173" fontId="7" fillId="3" borderId="16" xfId="0" applyNumberFormat="1" applyFont="1" applyFill="1" applyBorder="1" applyAlignment="1">
      <alignment horizontal="center" vertical="center" wrapText="1"/>
    </xf>
    <xf numFmtId="171" fontId="7" fillId="3" borderId="16" xfId="3" applyNumberFormat="1" applyFont="1" applyFill="1" applyBorder="1" applyAlignment="1" applyProtection="1">
      <alignment horizontal="right" vertical="center"/>
    </xf>
    <xf numFmtId="4" fontId="7" fillId="3" borderId="16" xfId="3" applyNumberFormat="1" applyFont="1" applyFill="1" applyBorder="1" applyAlignment="1" applyProtection="1">
      <alignment horizontal="center" vertical="center"/>
    </xf>
    <xf numFmtId="174" fontId="8" fillId="3" borderId="15" xfId="4" applyNumberFormat="1" applyFont="1" applyFill="1" applyBorder="1" applyAlignment="1" applyProtection="1">
      <alignment vertical="center"/>
    </xf>
    <xf numFmtId="174" fontId="8" fillId="3" borderId="16" xfId="4" applyNumberFormat="1" applyFont="1" applyFill="1" applyBorder="1" applyAlignment="1" applyProtection="1">
      <alignment vertical="center"/>
    </xf>
    <xf numFmtId="174" fontId="8" fillId="3" borderId="40" xfId="4" applyNumberFormat="1" applyFont="1" applyFill="1" applyBorder="1" applyAlignment="1" applyProtection="1">
      <alignment vertical="center"/>
    </xf>
    <xf numFmtId="3" fontId="7" fillId="3" borderId="16" xfId="3" applyNumberFormat="1" applyFont="1" applyFill="1" applyBorder="1" applyAlignment="1" applyProtection="1">
      <alignment horizontal="center" vertical="center"/>
    </xf>
    <xf numFmtId="4" fontId="7" fillId="3" borderId="16" xfId="4" applyNumberFormat="1" applyFont="1" applyFill="1" applyBorder="1" applyAlignment="1" applyProtection="1">
      <alignment horizontal="center" vertical="center"/>
    </xf>
    <xf numFmtId="174" fontId="8" fillId="3" borderId="41" xfId="4" applyNumberFormat="1" applyFont="1" applyFill="1" applyBorder="1" applyAlignment="1" applyProtection="1">
      <alignment vertical="center"/>
    </xf>
    <xf numFmtId="3" fontId="6" fillId="3" borderId="40" xfId="0" applyNumberFormat="1" applyFont="1" applyFill="1" applyBorder="1" applyAlignment="1">
      <alignment horizontal="justify" vertical="center" wrapText="1"/>
    </xf>
    <xf numFmtId="3" fontId="3" fillId="3" borderId="43" xfId="0" applyNumberFormat="1" applyFont="1" applyFill="1" applyBorder="1" applyAlignment="1">
      <alignment horizontal="left" vertical="center" wrapText="1"/>
    </xf>
    <xf numFmtId="3" fontId="3" fillId="3" borderId="44" xfId="0" applyNumberFormat="1" applyFont="1" applyFill="1" applyBorder="1" applyAlignment="1">
      <alignment horizontal="left" vertical="center" wrapText="1"/>
    </xf>
    <xf numFmtId="3" fontId="8" fillId="3" borderId="42" xfId="0" applyNumberFormat="1" applyFont="1" applyFill="1" applyBorder="1" applyAlignment="1">
      <alignment horizontal="right" vertical="center" wrapText="1"/>
    </xf>
    <xf numFmtId="3" fontId="8" fillId="3" borderId="28" xfId="0" applyNumberFormat="1" applyFont="1" applyFill="1" applyBorder="1" applyAlignment="1">
      <alignment horizontal="center" vertical="center" wrapText="1"/>
    </xf>
    <xf numFmtId="174" fontId="8" fillId="3" borderId="44" xfId="4" applyNumberFormat="1" applyFont="1" applyFill="1" applyBorder="1" applyAlignment="1" applyProtection="1">
      <alignment vertical="center"/>
    </xf>
    <xf numFmtId="3" fontId="8" fillId="3" borderId="29" xfId="0" applyNumberFormat="1" applyFont="1" applyFill="1" applyBorder="1" applyAlignment="1">
      <alignment horizontal="right" vertical="center" wrapText="1"/>
    </xf>
    <xf numFmtId="3" fontId="8" fillId="3" borderId="43" xfId="0" applyNumberFormat="1" applyFont="1" applyFill="1" applyBorder="1" applyAlignment="1">
      <alignment horizontal="center" vertical="center" wrapText="1"/>
    </xf>
    <xf numFmtId="3" fontId="8" fillId="3" borderId="27" xfId="0" applyNumberFormat="1" applyFont="1" applyFill="1" applyBorder="1" applyAlignment="1">
      <alignment horizontal="right" vertical="center" wrapText="1"/>
    </xf>
    <xf numFmtId="3" fontId="8" fillId="3" borderId="43" xfId="0" applyNumberFormat="1" applyFont="1" applyFill="1" applyBorder="1" applyAlignment="1">
      <alignment horizontal="center" vertical="center" wrapText="1"/>
    </xf>
    <xf numFmtId="3" fontId="8" fillId="3" borderId="44" xfId="0" applyNumberFormat="1" applyFont="1" applyFill="1" applyBorder="1" applyAlignment="1">
      <alignment horizontal="center" vertical="center" wrapText="1"/>
    </xf>
    <xf numFmtId="3" fontId="7" fillId="3" borderId="44" xfId="3" applyNumberFormat="1" applyFont="1" applyFill="1" applyBorder="1" applyAlignment="1" applyProtection="1">
      <alignment horizontal="center" vertical="center"/>
    </xf>
    <xf numFmtId="4" fontId="7" fillId="3" borderId="44" xfId="4" applyNumberFormat="1" applyFont="1" applyFill="1" applyBorder="1" applyAlignment="1" applyProtection="1">
      <alignment horizontal="center" vertical="center"/>
    </xf>
    <xf numFmtId="4" fontId="7" fillId="3" borderId="28" xfId="0" applyNumberFormat="1" applyFont="1" applyFill="1" applyBorder="1" applyAlignment="1">
      <alignment horizontal="center" vertical="center" wrapText="1"/>
    </xf>
    <xf numFmtId="3" fontId="3" fillId="3" borderId="12" xfId="0" applyNumberFormat="1" applyFont="1" applyFill="1" applyBorder="1" applyAlignment="1">
      <alignment vertical="center" wrapText="1"/>
    </xf>
    <xf numFmtId="3" fontId="3" fillId="3" borderId="13" xfId="0" applyNumberFormat="1" applyFont="1" applyFill="1" applyBorder="1" applyAlignment="1">
      <alignment vertical="center" wrapText="1"/>
    </xf>
    <xf numFmtId="0" fontId="6" fillId="3" borderId="16" xfId="5" applyFont="1" applyFill="1" applyBorder="1" applyAlignment="1">
      <alignment horizontal="justify" vertical="center" wrapText="1"/>
    </xf>
    <xf numFmtId="0" fontId="7" fillId="3" borderId="16" xfId="5" applyFont="1" applyFill="1" applyBorder="1" applyAlignment="1">
      <alignment horizontal="center" vertical="center"/>
    </xf>
    <xf numFmtId="3" fontId="7" fillId="3" borderId="41" xfId="4" applyNumberFormat="1" applyFont="1" applyFill="1" applyBorder="1" applyAlignment="1" applyProtection="1">
      <alignment vertical="center"/>
    </xf>
    <xf numFmtId="0" fontId="5" fillId="3" borderId="16" xfId="5" applyFont="1" applyFill="1" applyBorder="1" applyAlignment="1">
      <alignment horizontal="justify" vertical="center" wrapText="1"/>
    </xf>
    <xf numFmtId="0" fontId="8" fillId="3" borderId="16" xfId="5" applyFont="1" applyFill="1" applyBorder="1" applyAlignment="1">
      <alignment horizontal="center" vertical="center"/>
    </xf>
    <xf numFmtId="3" fontId="8" fillId="3" borderId="16" xfId="0" applyNumberFormat="1" applyFont="1" applyFill="1" applyBorder="1" applyAlignment="1">
      <alignment horizontal="center" vertical="center" wrapText="1"/>
    </xf>
    <xf numFmtId="4" fontId="8" fillId="3" borderId="16" xfId="0" applyNumberFormat="1" applyFont="1" applyFill="1" applyBorder="1" applyAlignment="1">
      <alignment horizontal="center" vertical="center" wrapText="1"/>
    </xf>
    <xf numFmtId="3" fontId="8" fillId="3" borderId="41" xfId="4" applyNumberFormat="1" applyFont="1" applyFill="1" applyBorder="1" applyAlignment="1" applyProtection="1">
      <alignment vertical="center"/>
    </xf>
    <xf numFmtId="4" fontId="8" fillId="3" borderId="15" xfId="0" applyNumberFormat="1" applyFont="1" applyFill="1" applyBorder="1" applyAlignment="1">
      <alignment horizontal="center" vertical="center" wrapText="1"/>
    </xf>
    <xf numFmtId="3" fontId="8" fillId="3" borderId="41" xfId="0" applyNumberFormat="1" applyFont="1" applyFill="1" applyBorder="1" applyAlignment="1">
      <alignment horizontal="right" vertical="center" wrapText="1"/>
    </xf>
    <xf numFmtId="3" fontId="8" fillId="3" borderId="16" xfId="3" applyNumberFormat="1" applyFont="1" applyFill="1" applyBorder="1" applyAlignment="1" applyProtection="1">
      <alignment horizontal="center" vertical="center"/>
    </xf>
    <xf numFmtId="3" fontId="8" fillId="3" borderId="12" xfId="0" applyNumberFormat="1" applyFont="1" applyFill="1" applyBorder="1" applyAlignment="1">
      <alignment horizontal="left" vertical="center" wrapText="1"/>
    </xf>
    <xf numFmtId="3" fontId="8" fillId="3" borderId="13" xfId="0" applyNumberFormat="1" applyFont="1" applyFill="1" applyBorder="1" applyAlignment="1">
      <alignment horizontal="left" vertical="center" wrapText="1"/>
    </xf>
    <xf numFmtId="3" fontId="8" fillId="3" borderId="15" xfId="0" applyNumberFormat="1" applyFont="1" applyFill="1" applyBorder="1" applyAlignment="1">
      <alignment horizontal="left" vertical="center" wrapText="1"/>
    </xf>
    <xf numFmtId="3" fontId="8" fillId="3" borderId="40" xfId="0" applyNumberFormat="1" applyFont="1" applyFill="1" applyBorder="1" applyAlignment="1">
      <alignment horizontal="right" vertical="center" wrapText="1"/>
    </xf>
    <xf numFmtId="3" fontId="8" fillId="3" borderId="15" xfId="0" applyNumberFormat="1" applyFont="1" applyFill="1" applyBorder="1" applyAlignment="1">
      <alignment horizontal="right" vertical="center" wrapText="1"/>
    </xf>
    <xf numFmtId="4" fontId="7" fillId="3" borderId="16" xfId="3" applyNumberFormat="1" applyFont="1" applyFill="1" applyBorder="1" applyAlignment="1" applyProtection="1">
      <alignment vertical="center"/>
    </xf>
  </cellXfs>
  <cellStyles count="7">
    <cellStyle name="Millares [0]_ACTA1 " xfId="3" xr:uid="{00000000-0005-0000-0000-000000000000}"/>
    <cellStyle name="Millares_ACTA1 " xfId="4" xr:uid="{00000000-0005-0000-0000-000001000000}"/>
    <cellStyle name="Moneda" xfId="1" builtinId="4"/>
    <cellStyle name="Moneda [0]" xfId="6" builtinId="7"/>
    <cellStyle name="Normal" xfId="0" builtinId="0"/>
    <cellStyle name="Normal 2" xfId="5" xr:uid="{00000000-0005-0000-0000-000005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466725</xdr:colOff>
      <xdr:row>0</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3664"/>
        <a:stretch>
          <a:fillRect/>
        </a:stretch>
      </xdr:blipFill>
      <xdr:spPr bwMode="auto">
        <a:xfrm>
          <a:off x="8515350" y="0"/>
          <a:ext cx="3019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466725</xdr:colOff>
      <xdr:row>0</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3664"/>
        <a:stretch>
          <a:fillRect/>
        </a:stretch>
      </xdr:blipFill>
      <xdr:spPr bwMode="auto">
        <a:xfrm>
          <a:off x="8772525" y="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RSONAL/Desktop/ACTAS%20CONTRATOS%20VARIOS/OK%20MARZO%20DE%202021/OK/ACTAS%20URAB&#193;/ACTA%201/ACTA%201%20%20INTERVENTOR&#205;A%20URAB&#19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A 1"/>
    </sheetNames>
    <sheetDataSet>
      <sheetData sheetId="0" refreshError="1">
        <row r="10">
          <cell r="I10">
            <v>1</v>
          </cell>
        </row>
        <row r="25">
          <cell r="H25">
            <v>4670000</v>
          </cell>
        </row>
        <row r="26">
          <cell r="B26" t="str">
            <v>Gastos de alojamiento, transporte y almentación, se reconocerán según su costo real y contra factura</v>
          </cell>
        </row>
        <row r="30">
          <cell r="B30" t="str">
            <v>Vehículo No. 1 doble tracción, doble cabina, 2400 CC o superior (modelo 2015 o superior)  tarifa de alquiler tiempo completo, incluye combustible,  incluye conductor. Se debe garantizar permanencia de los vehículos durante toda la ejecución del proyecto.</v>
          </cell>
          <cell r="C30" t="str">
            <v>Unidad</v>
          </cell>
          <cell r="D30">
            <v>3</v>
          </cell>
        </row>
        <row r="31">
          <cell r="B31" t="str">
            <v xml:space="preserve">Moto No. 1.  Alquiler modelo 2015 o superior  - tarifa de alquiler </v>
          </cell>
          <cell r="C31" t="str">
            <v>Unidad</v>
          </cell>
          <cell r="E31">
            <v>550000</v>
          </cell>
        </row>
        <row r="32">
          <cell r="B32" t="str">
            <v>Fotocopias, edición informes, registros fotográficos entre otros en oficina en campo</v>
          </cell>
          <cell r="C32" t="str">
            <v>Unidad</v>
          </cell>
          <cell r="D32">
            <v>1</v>
          </cell>
        </row>
        <row r="33">
          <cell r="B33" t="str">
            <v>Comunicaciones (Teléfono, Fax, Celular, Internet, Etc.) mensual en campo</v>
          </cell>
          <cell r="C33" t="str">
            <v>Unidad</v>
          </cell>
        </row>
        <row r="34">
          <cell r="B34" t="str">
            <v>Tarifa puesto de trabajo del personal de oficina de campo, incluye: alquiler de un (1) equipo de computo completo, escritorio y silla</v>
          </cell>
          <cell r="C34" t="str">
            <v>Unidad</v>
          </cell>
        </row>
        <row r="35">
          <cell r="B35" t="str">
            <v>Impresora (Una sola vez en el contrato)</v>
          </cell>
          <cell r="C35" t="str">
            <v>Unidad</v>
          </cell>
          <cell r="D35">
            <v>3</v>
          </cell>
          <cell r="G35">
            <v>1</v>
          </cell>
        </row>
        <row r="36">
          <cell r="B36" t="str">
            <v>Oficina de campo (alquiler y pago de servicios públicos)</v>
          </cell>
          <cell r="C36" t="str">
            <v>Unidad</v>
          </cell>
          <cell r="D36">
            <v>3</v>
          </cell>
        </row>
        <row r="37">
          <cell r="E37" t="str">
            <v>Valor día</v>
          </cell>
          <cell r="G37" t="str">
            <v>Plazo-Meses</v>
          </cell>
        </row>
        <row r="38">
          <cell r="B38" t="str">
            <v>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v>
          </cell>
          <cell r="C38" t="str">
            <v>Día-mes</v>
          </cell>
          <cell r="D38">
            <v>15</v>
          </cell>
          <cell r="G38">
            <v>5</v>
          </cell>
        </row>
        <row r="39">
          <cell r="B39" t="str">
            <v>Ensayos de laboratorio:  Límites de Atterberg, granulometría, CBR, compresión simple, entre otros que se soliciten por parte de la Entidad. (Se pagan contra factura y resultados)</v>
          </cell>
          <cell r="C39" t="str">
            <v xml:space="preserve">Estimado </v>
          </cell>
        </row>
        <row r="40">
          <cell r="B40" t="str">
            <v>Asesorías Especializadas (Hidráulicas, geotécnicas, suelos, pavimentos, estructurales, geológicas, o cualquier asesoría adicional) se paga contra factura</v>
          </cell>
          <cell r="C40" t="str">
            <v>Estimado</v>
          </cell>
          <cell r="H40">
            <v>13300000</v>
          </cell>
        </row>
        <row r="41">
          <cell r="C41" t="str">
            <v>Estimado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Y90"/>
  <sheetViews>
    <sheetView topLeftCell="A10" zoomScale="40" zoomScaleNormal="40" workbookViewId="0">
      <pane xSplit="7" ySplit="3" topLeftCell="BN52" activePane="bottomRight" state="frozen"/>
      <selection activeCell="A10" sqref="A10"/>
      <selection pane="topRight" activeCell="H10" sqref="H10"/>
      <selection pane="bottomLeft" activeCell="A13" sqref="A13"/>
      <selection pane="bottomRight" activeCell="BW63" sqref="BW63"/>
    </sheetView>
  </sheetViews>
  <sheetFormatPr baseColWidth="10" defaultColWidth="11.453125" defaultRowHeight="22.5" x14ac:dyDescent="0.45"/>
  <cols>
    <col min="1" max="1" width="84.81640625" style="1" customWidth="1"/>
    <col min="2" max="2" width="18.26953125" style="1" customWidth="1"/>
    <col min="3" max="3" width="24.54296875" style="1" customWidth="1"/>
    <col min="4" max="4" width="20.1796875" style="1" customWidth="1"/>
    <col min="5" max="5" width="18.1796875" style="1" customWidth="1"/>
    <col min="6" max="6" width="17" style="1" customWidth="1"/>
    <col min="7" max="7" width="32.1796875" style="1" customWidth="1"/>
    <col min="8" max="8" width="16.26953125" style="1" customWidth="1"/>
    <col min="9" max="9" width="27.26953125" style="1" customWidth="1"/>
    <col min="10" max="10" width="19" style="1" customWidth="1"/>
    <col min="11" max="11" width="11" style="1" customWidth="1"/>
    <col min="12" max="12" width="16.81640625" style="1" customWidth="1"/>
    <col min="13" max="13" width="30.453125" style="1" customWidth="1"/>
    <col min="14" max="14" width="22.453125" style="1" customWidth="1"/>
    <col min="15" max="15" width="28" style="1" customWidth="1"/>
    <col min="16" max="18" width="17.453125" style="1" customWidth="1"/>
    <col min="19" max="19" width="32.26953125" style="1" customWidth="1"/>
    <col min="20" max="20" width="19" style="1" customWidth="1"/>
    <col min="21" max="21" width="33.26953125" style="1" customWidth="1"/>
    <col min="22" max="22" width="19.26953125" style="1" customWidth="1"/>
    <col min="23" max="23" width="14" style="1" customWidth="1"/>
    <col min="24" max="24" width="16.453125" style="1" customWidth="1"/>
    <col min="25" max="25" width="32.1796875" style="1" customWidth="1"/>
    <col min="26" max="26" width="18" style="1" customWidth="1"/>
    <col min="27" max="27" width="17.26953125" style="1" customWidth="1"/>
    <col min="28" max="28" width="31" style="1" customWidth="1"/>
    <col min="29" max="29" width="11.54296875" style="1" customWidth="1"/>
    <col min="30" max="30" width="14.453125" style="1" customWidth="1"/>
    <col min="31" max="31" width="29" style="1" customWidth="1"/>
    <col min="32" max="33" width="16.1796875" style="1" customWidth="1"/>
    <col min="34" max="34" width="24.1796875" style="1" customWidth="1"/>
    <col min="35" max="36" width="16.1796875" style="1" customWidth="1"/>
    <col min="37" max="37" width="27.26953125" style="1" customWidth="1"/>
    <col min="38" max="39" width="16.1796875" style="1" customWidth="1"/>
    <col min="40" max="40" width="29.1796875" style="1" customWidth="1"/>
    <col min="41" max="42" width="16.1796875" style="1" customWidth="1"/>
    <col min="43" max="43" width="28.1796875" style="1" customWidth="1"/>
    <col min="44" max="45" width="16.1796875" style="1" customWidth="1"/>
    <col min="46" max="46" width="36.26953125" style="1" customWidth="1"/>
    <col min="47" max="47" width="13.7265625" style="1" customWidth="1"/>
    <col min="48" max="48" width="33.453125" style="1" customWidth="1"/>
    <col min="49" max="49" width="36.26953125" style="1" customWidth="1"/>
    <col min="50" max="50" width="13.7265625" style="1" customWidth="1"/>
    <col min="51" max="51" width="33.453125" style="1" customWidth="1"/>
    <col min="52" max="52" width="36.26953125" style="1" customWidth="1"/>
    <col min="53" max="53" width="13.7265625" style="1" customWidth="1"/>
    <col min="54" max="54" width="33.453125" style="1" customWidth="1"/>
    <col min="55" max="55" width="36.26953125" style="1" customWidth="1"/>
    <col min="56" max="56" width="13.7265625" style="1" customWidth="1"/>
    <col min="57" max="57" width="33.453125" style="1" customWidth="1"/>
    <col min="58" max="58" width="36.26953125" style="1" customWidth="1"/>
    <col min="59" max="59" width="13.7265625" style="1" customWidth="1"/>
    <col min="60" max="60" width="33.453125" style="1" customWidth="1"/>
    <col min="61" max="61" width="36.26953125" style="1" customWidth="1"/>
    <col min="62" max="62" width="13.7265625" style="1" customWidth="1"/>
    <col min="63" max="63" width="33.453125" style="1" customWidth="1"/>
    <col min="64" max="64" width="36.26953125" style="1" customWidth="1"/>
    <col min="65" max="65" width="13.7265625" style="1" customWidth="1"/>
    <col min="66" max="66" width="33.453125" style="1" customWidth="1"/>
    <col min="67" max="67" width="36.26953125" style="1" customWidth="1"/>
    <col min="68" max="68" width="25.81640625" style="1" customWidth="1"/>
    <col min="69" max="69" width="29" style="1" customWidth="1"/>
    <col min="70" max="70" width="18.7265625" style="1" customWidth="1"/>
    <col min="71" max="71" width="35.453125" style="1" customWidth="1"/>
    <col min="72" max="72" width="6.81640625" style="1" customWidth="1"/>
    <col min="73" max="73" width="26.7265625" style="1" customWidth="1"/>
    <col min="74" max="74" width="30" style="1" customWidth="1"/>
    <col min="75" max="75" width="6.81640625" style="1" customWidth="1"/>
    <col min="76" max="76" width="33.7265625" style="1" customWidth="1"/>
    <col min="77" max="77" width="68.26953125" style="1" customWidth="1"/>
    <col min="78" max="16384" width="11.453125" style="1"/>
  </cols>
  <sheetData>
    <row r="1" spans="1:74" ht="63" hidden="1" customHeight="1" thickBot="1" x14ac:dyDescent="0.5">
      <c r="A1" s="242"/>
      <c r="B1" s="245" t="s">
        <v>0</v>
      </c>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06"/>
      <c r="BR1" s="201" t="s">
        <v>1</v>
      </c>
      <c r="BS1" s="202"/>
    </row>
    <row r="2" spans="1:74" ht="70.5" hidden="1" customHeight="1" thickBot="1" x14ac:dyDescent="0.5">
      <c r="A2" s="243"/>
      <c r="B2" s="203" t="s">
        <v>2</v>
      </c>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5"/>
      <c r="BR2" s="201" t="s">
        <v>88</v>
      </c>
      <c r="BS2" s="206"/>
    </row>
    <row r="3" spans="1:74" ht="37.5" hidden="1" customHeight="1" x14ac:dyDescent="0.45">
      <c r="A3" s="243"/>
      <c r="B3" s="207" t="s">
        <v>3</v>
      </c>
      <c r="C3" s="208"/>
      <c r="D3" s="208"/>
      <c r="E3" s="209">
        <v>7</v>
      </c>
      <c r="F3" s="210"/>
      <c r="G3" s="210"/>
      <c r="H3" s="210"/>
      <c r="I3" s="210"/>
      <c r="J3" s="210"/>
      <c r="K3" s="210"/>
      <c r="L3" s="210"/>
      <c r="M3" s="210"/>
      <c r="N3" s="210"/>
      <c r="O3" s="210"/>
      <c r="P3" s="210"/>
      <c r="Q3" s="210"/>
      <c r="R3" s="210"/>
      <c r="S3" s="211"/>
      <c r="T3" s="212" t="s">
        <v>4</v>
      </c>
      <c r="U3" s="212"/>
      <c r="V3" s="212"/>
      <c r="W3" s="213">
        <v>1531513035</v>
      </c>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c r="BO3" s="214"/>
      <c r="BP3" s="214"/>
      <c r="BQ3" s="215"/>
      <c r="BR3" s="216" t="s">
        <v>5</v>
      </c>
      <c r="BS3" s="217"/>
    </row>
    <row r="4" spans="1:74" ht="33.75" hidden="1" customHeight="1" thickBot="1" x14ac:dyDescent="0.5">
      <c r="A4" s="243"/>
      <c r="B4" s="220" t="s">
        <v>6</v>
      </c>
      <c r="C4" s="221"/>
      <c r="D4" s="221"/>
      <c r="E4" s="222" t="s">
        <v>64</v>
      </c>
      <c r="F4" s="223"/>
      <c r="G4" s="223"/>
      <c r="H4" s="223"/>
      <c r="I4" s="223"/>
      <c r="J4" s="223"/>
      <c r="K4" s="223"/>
      <c r="L4" s="223"/>
      <c r="M4" s="223"/>
      <c r="N4" s="223"/>
      <c r="O4" s="223"/>
      <c r="P4" s="223"/>
      <c r="Q4" s="223"/>
      <c r="R4" s="223"/>
      <c r="S4" s="224"/>
      <c r="T4" s="225" t="s">
        <v>7</v>
      </c>
      <c r="U4" s="225"/>
      <c r="V4" s="225"/>
      <c r="W4" s="226" t="s">
        <v>65</v>
      </c>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8"/>
      <c r="BR4" s="218"/>
      <c r="BS4" s="219"/>
    </row>
    <row r="5" spans="1:74" ht="28.5" hidden="1" customHeight="1" x14ac:dyDescent="0.45">
      <c r="A5" s="243"/>
      <c r="B5" s="220" t="s">
        <v>8</v>
      </c>
      <c r="C5" s="221"/>
      <c r="D5" s="221"/>
      <c r="E5" s="231">
        <v>44270</v>
      </c>
      <c r="F5" s="232"/>
      <c r="G5" s="232"/>
      <c r="H5" s="232"/>
      <c r="I5" s="232"/>
      <c r="J5" s="232"/>
      <c r="K5" s="232"/>
      <c r="L5" s="232"/>
      <c r="M5" s="232"/>
      <c r="N5" s="232"/>
      <c r="O5" s="232"/>
      <c r="P5" s="232"/>
      <c r="Q5" s="232"/>
      <c r="R5" s="232"/>
      <c r="S5" s="233"/>
      <c r="T5" s="225" t="s">
        <v>9</v>
      </c>
      <c r="U5" s="225"/>
      <c r="V5" s="225"/>
      <c r="W5" s="222" t="s">
        <v>68</v>
      </c>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34"/>
      <c r="BR5" s="216" t="s">
        <v>89</v>
      </c>
      <c r="BS5" s="217"/>
    </row>
    <row r="6" spans="1:74" ht="51.75" hidden="1" customHeight="1" x14ac:dyDescent="0.45">
      <c r="A6" s="243"/>
      <c r="B6" s="220" t="s">
        <v>54</v>
      </c>
      <c r="C6" s="221"/>
      <c r="D6" s="221"/>
      <c r="E6" s="231">
        <v>44527</v>
      </c>
      <c r="F6" s="232"/>
      <c r="G6" s="232"/>
      <c r="H6" s="232"/>
      <c r="I6" s="232"/>
      <c r="J6" s="232"/>
      <c r="K6" s="232"/>
      <c r="L6" s="232"/>
      <c r="M6" s="232"/>
      <c r="N6" s="232"/>
      <c r="O6" s="232"/>
      <c r="P6" s="232"/>
      <c r="Q6" s="232"/>
      <c r="R6" s="232"/>
      <c r="S6" s="233"/>
      <c r="T6" s="225" t="s">
        <v>10</v>
      </c>
      <c r="U6" s="225"/>
      <c r="V6" s="225"/>
      <c r="W6" s="222" t="s">
        <v>55</v>
      </c>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34"/>
      <c r="BR6" s="229"/>
      <c r="BS6" s="230"/>
    </row>
    <row r="7" spans="1:74" ht="38.25" hidden="1" customHeight="1" x14ac:dyDescent="0.45">
      <c r="A7" s="243"/>
      <c r="B7" s="220" t="s">
        <v>11</v>
      </c>
      <c r="C7" s="221"/>
      <c r="D7" s="221"/>
      <c r="E7" s="222" t="s">
        <v>67</v>
      </c>
      <c r="F7" s="223"/>
      <c r="G7" s="223"/>
      <c r="H7" s="223"/>
      <c r="I7" s="223"/>
      <c r="J7" s="223"/>
      <c r="K7" s="223"/>
      <c r="L7" s="223"/>
      <c r="M7" s="223"/>
      <c r="N7" s="223"/>
      <c r="O7" s="223"/>
      <c r="P7" s="223"/>
      <c r="Q7" s="223"/>
      <c r="R7" s="223"/>
      <c r="S7" s="224"/>
      <c r="T7" s="225" t="s">
        <v>12</v>
      </c>
      <c r="U7" s="225"/>
      <c r="V7" s="225"/>
      <c r="W7" s="235" t="str">
        <f>+W6</f>
        <v>N/A</v>
      </c>
      <c r="X7" s="236"/>
      <c r="Y7" s="236"/>
      <c r="Z7" s="236"/>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c r="BQ7" s="237"/>
      <c r="BR7" s="229"/>
      <c r="BS7" s="230"/>
    </row>
    <row r="8" spans="1:74" ht="81" hidden="1" customHeight="1" thickBot="1" x14ac:dyDescent="0.5">
      <c r="A8" s="244"/>
      <c r="B8" s="238" t="s">
        <v>13</v>
      </c>
      <c r="C8" s="239"/>
      <c r="D8" s="239"/>
      <c r="E8" s="240" t="s">
        <v>66</v>
      </c>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1"/>
      <c r="BR8" s="229"/>
      <c r="BS8" s="230"/>
    </row>
    <row r="9" spans="1:74" ht="24.75" hidden="1" customHeight="1" thickBot="1" x14ac:dyDescent="0.5">
      <c r="A9" s="2"/>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218"/>
      <c r="BS9" s="219"/>
    </row>
    <row r="10" spans="1:74" ht="9" customHeight="1" thickBot="1" x14ac:dyDescent="0.5">
      <c r="A10" s="2"/>
      <c r="B10" s="3"/>
      <c r="C10" s="3"/>
      <c r="D10" s="3"/>
      <c r="E10" s="3"/>
      <c r="F10" s="3"/>
      <c r="G10" s="3"/>
      <c r="H10" s="3"/>
      <c r="I10" s="3"/>
      <c r="J10" s="3"/>
      <c r="K10" s="3"/>
      <c r="L10" s="3"/>
      <c r="M10" s="3"/>
      <c r="N10" s="3"/>
      <c r="O10" s="3"/>
      <c r="P10" s="3"/>
      <c r="Q10" s="3"/>
      <c r="R10" s="3"/>
      <c r="S10" s="3"/>
      <c r="T10" s="4"/>
      <c r="U10" s="4"/>
      <c r="V10" s="4"/>
      <c r="W10" s="4"/>
      <c r="X10" s="4"/>
      <c r="Y10" s="4"/>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5"/>
    </row>
    <row r="11" spans="1:74" ht="61.5" customHeight="1" thickBot="1" x14ac:dyDescent="0.5">
      <c r="A11" s="245" t="s">
        <v>14</v>
      </c>
      <c r="B11" s="246"/>
      <c r="C11" s="246"/>
      <c r="D11" s="246"/>
      <c r="E11" s="246"/>
      <c r="F11" s="246"/>
      <c r="G11" s="206"/>
      <c r="H11" s="201" t="s">
        <v>15</v>
      </c>
      <c r="I11" s="247"/>
      <c r="J11" s="247"/>
      <c r="K11" s="247"/>
      <c r="L11" s="247"/>
      <c r="M11" s="202"/>
      <c r="N11" s="201" t="s">
        <v>16</v>
      </c>
      <c r="O11" s="247"/>
      <c r="P11" s="247"/>
      <c r="Q11" s="247"/>
      <c r="R11" s="247"/>
      <c r="S11" s="202"/>
      <c r="T11" s="248" t="s">
        <v>17</v>
      </c>
      <c r="U11" s="249"/>
      <c r="V11" s="249"/>
      <c r="W11" s="249"/>
      <c r="X11" s="249"/>
      <c r="Y11" s="250"/>
      <c r="Z11" s="247" t="s">
        <v>82</v>
      </c>
      <c r="AA11" s="247"/>
      <c r="AB11" s="202"/>
      <c r="AC11" s="201" t="s">
        <v>83</v>
      </c>
      <c r="AD11" s="247"/>
      <c r="AE11" s="202"/>
      <c r="AF11" s="201" t="s">
        <v>85</v>
      </c>
      <c r="AG11" s="247"/>
      <c r="AH11" s="202"/>
      <c r="AI11" s="201" t="s">
        <v>86</v>
      </c>
      <c r="AJ11" s="247"/>
      <c r="AK11" s="202"/>
      <c r="AL11" s="201" t="s">
        <v>87</v>
      </c>
      <c r="AM11" s="247"/>
      <c r="AN11" s="202"/>
      <c r="AO11" s="201" t="s">
        <v>90</v>
      </c>
      <c r="AP11" s="247"/>
      <c r="AQ11" s="202"/>
      <c r="AR11" s="201" t="s">
        <v>91</v>
      </c>
      <c r="AS11" s="247"/>
      <c r="AT11" s="202"/>
      <c r="AU11" s="201" t="s">
        <v>72</v>
      </c>
      <c r="AV11" s="247"/>
      <c r="AW11" s="202"/>
      <c r="AX11" s="201" t="s">
        <v>73</v>
      </c>
      <c r="AY11" s="247"/>
      <c r="AZ11" s="202"/>
      <c r="BA11" s="201" t="s">
        <v>74</v>
      </c>
      <c r="BB11" s="247"/>
      <c r="BC11" s="202"/>
      <c r="BD11" s="201" t="s">
        <v>75</v>
      </c>
      <c r="BE11" s="247"/>
      <c r="BF11" s="202"/>
      <c r="BG11" s="201" t="s">
        <v>76</v>
      </c>
      <c r="BH11" s="247"/>
      <c r="BI11" s="202"/>
      <c r="BJ11" s="201" t="s">
        <v>77</v>
      </c>
      <c r="BK11" s="247"/>
      <c r="BL11" s="202"/>
      <c r="BM11" s="201" t="s">
        <v>78</v>
      </c>
      <c r="BN11" s="247"/>
      <c r="BO11" s="202"/>
      <c r="BP11" s="201" t="s">
        <v>18</v>
      </c>
      <c r="BQ11" s="202"/>
      <c r="BR11" s="247" t="s">
        <v>19</v>
      </c>
      <c r="BS11" s="202"/>
    </row>
    <row r="12" spans="1:74" ht="114" customHeight="1" thickBot="1" x14ac:dyDescent="0.5">
      <c r="A12" s="92" t="s">
        <v>20</v>
      </c>
      <c r="B12" s="93" t="s">
        <v>21</v>
      </c>
      <c r="C12" s="94" t="s">
        <v>22</v>
      </c>
      <c r="D12" s="95" t="s">
        <v>23</v>
      </c>
      <c r="E12" s="93" t="s">
        <v>24</v>
      </c>
      <c r="F12" s="95" t="s">
        <v>25</v>
      </c>
      <c r="G12" s="96" t="s">
        <v>26</v>
      </c>
      <c r="H12" s="92" t="s">
        <v>21</v>
      </c>
      <c r="I12" s="94" t="s">
        <v>22</v>
      </c>
      <c r="J12" s="95" t="s">
        <v>23</v>
      </c>
      <c r="K12" s="93" t="s">
        <v>24</v>
      </c>
      <c r="L12" s="95" t="s">
        <v>25</v>
      </c>
      <c r="M12" s="96" t="s">
        <v>26</v>
      </c>
      <c r="N12" s="92" t="s">
        <v>21</v>
      </c>
      <c r="O12" s="94" t="s">
        <v>22</v>
      </c>
      <c r="P12" s="95" t="s">
        <v>27</v>
      </c>
      <c r="Q12" s="93" t="s">
        <v>24</v>
      </c>
      <c r="R12" s="95" t="s">
        <v>28</v>
      </c>
      <c r="S12" s="96" t="s">
        <v>26</v>
      </c>
      <c r="T12" s="92" t="s">
        <v>21</v>
      </c>
      <c r="U12" s="97" t="s">
        <v>22</v>
      </c>
      <c r="V12" s="98" t="s">
        <v>23</v>
      </c>
      <c r="W12" s="99" t="s">
        <v>24</v>
      </c>
      <c r="X12" s="98" t="s">
        <v>25</v>
      </c>
      <c r="Y12" s="100" t="s">
        <v>26</v>
      </c>
      <c r="Z12" s="99" t="s">
        <v>24</v>
      </c>
      <c r="AA12" s="98" t="s">
        <v>25</v>
      </c>
      <c r="AB12" s="100" t="s">
        <v>26</v>
      </c>
      <c r="AC12" s="93" t="s">
        <v>24</v>
      </c>
      <c r="AD12" s="95" t="s">
        <v>29</v>
      </c>
      <c r="AE12" s="96" t="s">
        <v>30</v>
      </c>
      <c r="AF12" s="93" t="s">
        <v>24</v>
      </c>
      <c r="AG12" s="95" t="s">
        <v>29</v>
      </c>
      <c r="AH12" s="96" t="s">
        <v>26</v>
      </c>
      <c r="AI12" s="93" t="s">
        <v>24</v>
      </c>
      <c r="AJ12" s="95" t="s">
        <v>29</v>
      </c>
      <c r="AK12" s="96" t="s">
        <v>26</v>
      </c>
      <c r="AL12" s="93" t="s">
        <v>24</v>
      </c>
      <c r="AM12" s="95" t="s">
        <v>29</v>
      </c>
      <c r="AN12" s="96" t="s">
        <v>26</v>
      </c>
      <c r="AO12" s="93" t="s">
        <v>24</v>
      </c>
      <c r="AP12" s="95" t="s">
        <v>29</v>
      </c>
      <c r="AQ12" s="96" t="s">
        <v>26</v>
      </c>
      <c r="AR12" s="93" t="s">
        <v>24</v>
      </c>
      <c r="AS12" s="95" t="s">
        <v>29</v>
      </c>
      <c r="AT12" s="96" t="s">
        <v>26</v>
      </c>
      <c r="AU12" s="93" t="s">
        <v>24</v>
      </c>
      <c r="AV12" s="95" t="s">
        <v>29</v>
      </c>
      <c r="AW12" s="96" t="s">
        <v>26</v>
      </c>
      <c r="AX12" s="93" t="s">
        <v>24</v>
      </c>
      <c r="AY12" s="95" t="s">
        <v>29</v>
      </c>
      <c r="AZ12" s="96" t="s">
        <v>26</v>
      </c>
      <c r="BA12" s="93" t="s">
        <v>24</v>
      </c>
      <c r="BB12" s="95" t="s">
        <v>29</v>
      </c>
      <c r="BC12" s="96" t="s">
        <v>26</v>
      </c>
      <c r="BD12" s="93" t="s">
        <v>24</v>
      </c>
      <c r="BE12" s="95" t="s">
        <v>29</v>
      </c>
      <c r="BF12" s="96" t="s">
        <v>26</v>
      </c>
      <c r="BG12" s="93" t="s">
        <v>24</v>
      </c>
      <c r="BH12" s="95" t="s">
        <v>29</v>
      </c>
      <c r="BI12" s="96" t="s">
        <v>26</v>
      </c>
      <c r="BJ12" s="93" t="s">
        <v>24</v>
      </c>
      <c r="BK12" s="95" t="s">
        <v>29</v>
      </c>
      <c r="BL12" s="96" t="s">
        <v>26</v>
      </c>
      <c r="BM12" s="93" t="s">
        <v>24</v>
      </c>
      <c r="BN12" s="95" t="s">
        <v>29</v>
      </c>
      <c r="BO12" s="96" t="s">
        <v>26</v>
      </c>
      <c r="BP12" s="101" t="s">
        <v>31</v>
      </c>
      <c r="BQ12" s="96" t="s">
        <v>26</v>
      </c>
      <c r="BR12" s="95" t="s">
        <v>31</v>
      </c>
      <c r="BS12" s="96" t="s">
        <v>26</v>
      </c>
    </row>
    <row r="13" spans="1:74" ht="36" customHeight="1" x14ac:dyDescent="0.45">
      <c r="A13" s="255" t="s">
        <v>32</v>
      </c>
      <c r="B13" s="256"/>
      <c r="C13" s="256"/>
      <c r="D13" s="256"/>
      <c r="E13" s="256"/>
      <c r="F13" s="256"/>
      <c r="G13" s="257"/>
      <c r="H13" s="102"/>
      <c r="I13" s="102"/>
      <c r="J13" s="103"/>
      <c r="K13" s="103"/>
      <c r="L13" s="103"/>
      <c r="M13" s="104"/>
      <c r="N13" s="105"/>
      <c r="O13" s="102"/>
      <c r="P13" s="103"/>
      <c r="Q13" s="103"/>
      <c r="R13" s="103"/>
      <c r="S13" s="185"/>
      <c r="T13" s="193"/>
      <c r="U13" s="194"/>
      <c r="V13" s="195"/>
      <c r="W13" s="195"/>
      <c r="X13" s="195"/>
      <c r="Y13" s="196"/>
      <c r="Z13" s="107"/>
      <c r="AA13" s="107"/>
      <c r="AB13" s="108"/>
      <c r="AC13" s="107"/>
      <c r="AD13" s="107"/>
      <c r="AE13" s="108"/>
      <c r="AF13" s="107"/>
      <c r="AG13" s="107"/>
      <c r="AH13" s="108"/>
      <c r="AI13" s="107"/>
      <c r="AJ13" s="107"/>
      <c r="AK13" s="108"/>
      <c r="AL13" s="107"/>
      <c r="AM13" s="107"/>
      <c r="AN13" s="108"/>
      <c r="AO13" s="107"/>
      <c r="AP13" s="107"/>
      <c r="AQ13" s="108"/>
      <c r="AR13" s="107"/>
      <c r="AS13" s="107"/>
      <c r="AT13" s="108" t="s">
        <v>33</v>
      </c>
      <c r="AU13" s="107"/>
      <c r="AV13" s="107"/>
      <c r="AW13" s="108"/>
      <c r="AX13" s="107"/>
      <c r="AY13" s="107"/>
      <c r="AZ13" s="108"/>
      <c r="BA13" s="107"/>
      <c r="BB13" s="107"/>
      <c r="BC13" s="108"/>
      <c r="BD13" s="107"/>
      <c r="BE13" s="107"/>
      <c r="BF13" s="108"/>
      <c r="BG13" s="107"/>
      <c r="BH13" s="107"/>
      <c r="BI13" s="108"/>
      <c r="BJ13" s="107"/>
      <c r="BK13" s="107"/>
      <c r="BL13" s="108"/>
      <c r="BM13" s="107"/>
      <c r="BN13" s="107"/>
      <c r="BO13" s="108"/>
      <c r="BP13" s="107"/>
      <c r="BQ13" s="109"/>
      <c r="BR13" s="106"/>
      <c r="BS13" s="110"/>
    </row>
    <row r="14" spans="1:74" ht="38.25" customHeight="1" x14ac:dyDescent="0.45">
      <c r="A14" s="111" t="s">
        <v>34</v>
      </c>
      <c r="B14" s="200"/>
      <c r="C14" s="251"/>
      <c r="D14" s="251"/>
      <c r="E14" s="251"/>
      <c r="F14" s="251"/>
      <c r="G14" s="252"/>
      <c r="H14" s="113"/>
      <c r="I14" s="113"/>
      <c r="J14" s="114"/>
      <c r="K14" s="114"/>
      <c r="L14" s="114"/>
      <c r="M14" s="115"/>
      <c r="N14" s="116"/>
      <c r="O14" s="113"/>
      <c r="P14" s="114"/>
      <c r="Q14" s="114"/>
      <c r="R14" s="114"/>
      <c r="S14" s="186"/>
      <c r="T14" s="112"/>
      <c r="U14" s="117"/>
      <c r="V14" s="114"/>
      <c r="W14" s="114"/>
      <c r="X14" s="114"/>
      <c r="Y14" s="115"/>
      <c r="Z14" s="114"/>
      <c r="AA14" s="114"/>
      <c r="AB14" s="118"/>
      <c r="AC14" s="114"/>
      <c r="AD14" s="114"/>
      <c r="AE14" s="118"/>
      <c r="AF14" s="114"/>
      <c r="AG14" s="114"/>
      <c r="AH14" s="118"/>
      <c r="AI14" s="114"/>
      <c r="AJ14" s="114"/>
      <c r="AK14" s="118"/>
      <c r="AL14" s="114"/>
      <c r="AM14" s="114"/>
      <c r="AN14" s="118"/>
      <c r="AO14" s="114"/>
      <c r="AP14" s="114"/>
      <c r="AQ14" s="118"/>
      <c r="AR14" s="114"/>
      <c r="AS14" s="114"/>
      <c r="AT14" s="118"/>
      <c r="AU14" s="114"/>
      <c r="AV14" s="114"/>
      <c r="AW14" s="118"/>
      <c r="AX14" s="114"/>
      <c r="AY14" s="114"/>
      <c r="AZ14" s="118"/>
      <c r="BA14" s="114"/>
      <c r="BB14" s="114"/>
      <c r="BC14" s="118"/>
      <c r="BD14" s="114"/>
      <c r="BE14" s="114"/>
      <c r="BF14" s="118"/>
      <c r="BG14" s="114"/>
      <c r="BH14" s="114"/>
      <c r="BI14" s="118"/>
      <c r="BJ14" s="114"/>
      <c r="BK14" s="114"/>
      <c r="BL14" s="118"/>
      <c r="BM14" s="114"/>
      <c r="BN14" s="114"/>
      <c r="BO14" s="118"/>
      <c r="BP14" s="113"/>
      <c r="BQ14" s="115"/>
      <c r="BR14" s="112"/>
      <c r="BS14" s="118"/>
    </row>
    <row r="15" spans="1:74" s="170" customFormat="1" ht="64.5" customHeight="1" x14ac:dyDescent="0.25">
      <c r="A15" s="71" t="s">
        <v>56</v>
      </c>
      <c r="B15" s="13" t="s">
        <v>35</v>
      </c>
      <c r="C15" s="122">
        <v>5850000</v>
      </c>
      <c r="D15" s="63">
        <v>1</v>
      </c>
      <c r="E15" s="7">
        <v>1</v>
      </c>
      <c r="F15" s="7">
        <v>9</v>
      </c>
      <c r="G15" s="78">
        <f t="shared" ref="G15:G24" si="0">+E15*C15*D15*F15</f>
        <v>52650000</v>
      </c>
      <c r="H15" s="6" t="s">
        <v>35</v>
      </c>
      <c r="I15" s="122">
        <v>5850000</v>
      </c>
      <c r="J15" s="63">
        <v>1</v>
      </c>
      <c r="K15" s="7">
        <v>0</v>
      </c>
      <c r="L15" s="7">
        <v>0</v>
      </c>
      <c r="M15" s="78">
        <f t="shared" ref="M15:M24" si="1">+K15*I15*J15*L15</f>
        <v>0</v>
      </c>
      <c r="N15" s="6" t="s">
        <v>35</v>
      </c>
      <c r="O15" s="122">
        <v>5850000</v>
      </c>
      <c r="P15" s="63">
        <v>1</v>
      </c>
      <c r="Q15" s="7">
        <v>0</v>
      </c>
      <c r="R15" s="7">
        <v>0</v>
      </c>
      <c r="S15" s="187">
        <f t="shared" ref="S15:S24" si="2">+Q15*O15*P15*R15</f>
        <v>0</v>
      </c>
      <c r="T15" s="197" t="s">
        <v>35</v>
      </c>
      <c r="U15" s="122">
        <v>5850000</v>
      </c>
      <c r="V15" s="63">
        <v>1</v>
      </c>
      <c r="W15" s="7">
        <f>+E15+K15+Q15</f>
        <v>1</v>
      </c>
      <c r="X15" s="7">
        <f>+F15+L15+R15</f>
        <v>9</v>
      </c>
      <c r="Y15" s="78">
        <f t="shared" ref="Y15:Y24" si="3">+G15</f>
        <v>52650000</v>
      </c>
      <c r="Z15" s="7">
        <v>1</v>
      </c>
      <c r="AA15" s="7">
        <f>+ROUND(16/30,4)</f>
        <v>0.5333</v>
      </c>
      <c r="AB15" s="78">
        <f>ROUND(U15*V15*Z15*AA15,0)</f>
        <v>3119805</v>
      </c>
      <c r="AC15" s="7">
        <v>1</v>
      </c>
      <c r="AD15" s="7">
        <v>1</v>
      </c>
      <c r="AE15" s="78">
        <f t="shared" ref="AE15:AE18" si="4">+ROUND(U15*V15*AC15*AD15,0)</f>
        <v>5850000</v>
      </c>
      <c r="AF15" s="7">
        <v>1</v>
      </c>
      <c r="AG15" s="7">
        <v>1</v>
      </c>
      <c r="AH15" s="78">
        <f>+ROUND(AG15*AF15*V15*U15,0)</f>
        <v>5850000</v>
      </c>
      <c r="AI15" s="167">
        <v>1</v>
      </c>
      <c r="AJ15" s="167">
        <f>+ROUND(0.233333333333333,4)</f>
        <v>0.23330000000000001</v>
      </c>
      <c r="AK15" s="168">
        <f>+ROUND(AI15*AJ15*U15*V15,0)</f>
        <v>1364805</v>
      </c>
      <c r="AL15" s="7">
        <v>1</v>
      </c>
      <c r="AM15" s="7">
        <f>+ROUND(0.266666666666667,4)</f>
        <v>0.26669999999999999</v>
      </c>
      <c r="AN15" s="78">
        <f>+ROUND(AL15*AM15*U15*V15,0)</f>
        <v>1560195</v>
      </c>
      <c r="AO15" s="7">
        <v>1</v>
      </c>
      <c r="AP15" s="7">
        <v>1</v>
      </c>
      <c r="AQ15" s="78">
        <f>+ROUND(AO15*AP15*U15*V15,0)</f>
        <v>5850000</v>
      </c>
      <c r="AR15" s="167">
        <v>1</v>
      </c>
      <c r="AS15" s="167">
        <v>1</v>
      </c>
      <c r="AT15" s="168">
        <f>+ROUND(AR15*AS15*U15*V15,0)</f>
        <v>5850000</v>
      </c>
      <c r="AU15" s="7">
        <v>1</v>
      </c>
      <c r="AV15" s="7">
        <v>0.16666666666666666</v>
      </c>
      <c r="AW15" s="78">
        <f>+ROUND(AU15*AV15*$U15*$V15,0)</f>
        <v>975000</v>
      </c>
      <c r="AX15" s="7">
        <v>1</v>
      </c>
      <c r="AY15" s="7">
        <v>1</v>
      </c>
      <c r="AZ15" s="78">
        <f t="shared" ref="AZ15:AZ24" si="5">+ROUND(AX15*AY15*$U15*$V15,0)</f>
        <v>5850000</v>
      </c>
      <c r="BA15" s="7">
        <v>1</v>
      </c>
      <c r="BB15" s="7">
        <v>1</v>
      </c>
      <c r="BC15" s="78">
        <f t="shared" ref="BC15:BC24" si="6">+ROUND(BA15*BB15*$U15*$V15,0)</f>
        <v>5850000</v>
      </c>
      <c r="BD15" s="7">
        <v>1</v>
      </c>
      <c r="BE15" s="7">
        <v>1</v>
      </c>
      <c r="BF15" s="78">
        <f t="shared" ref="BF15:BF24" si="7">+ROUND(BD15*BE15*$U15*$V15,0)</f>
        <v>5850000</v>
      </c>
      <c r="BG15" s="7">
        <v>1</v>
      </c>
      <c r="BH15" s="7">
        <v>0.43333333333333335</v>
      </c>
      <c r="BI15" s="78">
        <f t="shared" ref="BI15:BI24" si="8">+ROUND(BG15*BH15*$U15*$V15,0)</f>
        <v>2535000</v>
      </c>
      <c r="BJ15" s="7">
        <v>0</v>
      </c>
      <c r="BK15" s="7">
        <v>0</v>
      </c>
      <c r="BL15" s="78">
        <f t="shared" ref="BL15:BL24" si="9">+ROUND(BJ15*BK15*$U15*$V15,0)</f>
        <v>0</v>
      </c>
      <c r="BM15" s="7">
        <v>0</v>
      </c>
      <c r="BN15" s="7">
        <v>0</v>
      </c>
      <c r="BO15" s="78">
        <f t="shared" ref="BO15:BO24" si="10">+ROUND(BM15*BN15*$U15*$V15,0)</f>
        <v>0</v>
      </c>
      <c r="BP15" s="119">
        <f t="shared" ref="BP15:BP24" si="11">+Z15*AA15+AC15*AD15+AF15*AG15+AI15*AJ15+AL15*AM15+AO15*AP15++AR15*AS15+AU15*AV15+AX15*AY15+BA15*BB15+BD15*BE15+BG15*BH15+BJ15*BK15+BM15*BN15</f>
        <v>8.633300000000002</v>
      </c>
      <c r="BQ15" s="120">
        <f t="shared" ref="BQ15:BQ24" si="12">+AB15+AE15+AH15+AK15+AN15+AQ15+AT15+AW15+AZ15+BC15+BF15+BI15+BL15+BO15</f>
        <v>50504805</v>
      </c>
      <c r="BR15" s="121">
        <f t="shared" ref="BR15:BR24" si="13">+W15*X15-BP15</f>
        <v>0.36669999999999803</v>
      </c>
      <c r="BS15" s="78">
        <f t="shared" ref="BS15:BS24" si="14">+Y15-BQ15</f>
        <v>2145195</v>
      </c>
      <c r="BU15" s="171"/>
      <c r="BV15" s="199"/>
    </row>
    <row r="16" spans="1:74" s="170" customFormat="1" ht="55" x14ac:dyDescent="0.25">
      <c r="A16" s="71" t="s">
        <v>36</v>
      </c>
      <c r="B16" s="13" t="s">
        <v>35</v>
      </c>
      <c r="C16" s="122">
        <v>4400000</v>
      </c>
      <c r="D16" s="63">
        <v>1</v>
      </c>
      <c r="E16" s="7">
        <v>1</v>
      </c>
      <c r="F16" s="7">
        <v>9</v>
      </c>
      <c r="G16" s="78">
        <f t="shared" si="0"/>
        <v>39600000</v>
      </c>
      <c r="H16" s="6" t="s">
        <v>35</v>
      </c>
      <c r="I16" s="122">
        <v>4400000</v>
      </c>
      <c r="J16" s="63">
        <v>1</v>
      </c>
      <c r="K16" s="7">
        <v>0</v>
      </c>
      <c r="L16" s="7">
        <v>0</v>
      </c>
      <c r="M16" s="78">
        <f t="shared" si="1"/>
        <v>0</v>
      </c>
      <c r="N16" s="6" t="s">
        <v>35</v>
      </c>
      <c r="O16" s="122">
        <v>4400000</v>
      </c>
      <c r="P16" s="63">
        <v>1</v>
      </c>
      <c r="Q16" s="7">
        <v>0</v>
      </c>
      <c r="R16" s="7">
        <v>0</v>
      </c>
      <c r="S16" s="187">
        <f t="shared" si="2"/>
        <v>0</v>
      </c>
      <c r="T16" s="197" t="s">
        <v>35</v>
      </c>
      <c r="U16" s="122">
        <v>4400000</v>
      </c>
      <c r="V16" s="63">
        <v>1</v>
      </c>
      <c r="W16" s="7">
        <f t="shared" ref="W16:X24" si="15">+E16+K16+Q16</f>
        <v>1</v>
      </c>
      <c r="X16" s="7">
        <f t="shared" si="15"/>
        <v>9</v>
      </c>
      <c r="Y16" s="78">
        <f t="shared" si="3"/>
        <v>39600000</v>
      </c>
      <c r="Z16" s="7">
        <v>1</v>
      </c>
      <c r="AA16" s="7">
        <f>+ROUND(16/30,4)</f>
        <v>0.5333</v>
      </c>
      <c r="AB16" s="78">
        <f t="shared" ref="AB16:AB24" si="16">ROUND(U16*V16*Z16*AA16,0)</f>
        <v>2346520</v>
      </c>
      <c r="AC16" s="7">
        <v>1</v>
      </c>
      <c r="AD16" s="7">
        <v>1</v>
      </c>
      <c r="AE16" s="78">
        <f t="shared" si="4"/>
        <v>4400000</v>
      </c>
      <c r="AF16" s="7">
        <v>1</v>
      </c>
      <c r="AG16" s="7">
        <v>1</v>
      </c>
      <c r="AH16" s="78">
        <f>+ROUND(AG16*AF16*V16*U16,0)</f>
        <v>4400000</v>
      </c>
      <c r="AI16" s="167">
        <v>1</v>
      </c>
      <c r="AJ16" s="167">
        <f t="shared" ref="AJ16:AJ19" si="17">+ROUND(0.233333333333333,4)</f>
        <v>0.23330000000000001</v>
      </c>
      <c r="AK16" s="168">
        <f t="shared" ref="AK16:AK24" si="18">+ROUND(AI16*AJ16*U16*V16,0)</f>
        <v>1026520</v>
      </c>
      <c r="AL16" s="7">
        <v>1</v>
      </c>
      <c r="AM16" s="7">
        <f>+ROUND(23/30,4)</f>
        <v>0.76670000000000005</v>
      </c>
      <c r="AN16" s="78">
        <f t="shared" ref="AN16:AN24" si="19">+ROUND(AL16*AM16*U16*V16,0)</f>
        <v>3373480</v>
      </c>
      <c r="AO16" s="7">
        <v>1</v>
      </c>
      <c r="AP16" s="7">
        <v>1</v>
      </c>
      <c r="AQ16" s="78">
        <f t="shared" ref="AQ16:AQ24" si="20">+ROUND(AO16*AP16*U16*V16,0)</f>
        <v>4400000</v>
      </c>
      <c r="AR16" s="167">
        <v>1</v>
      </c>
      <c r="AS16" s="167">
        <v>1</v>
      </c>
      <c r="AT16" s="168">
        <f t="shared" ref="AT16:AT24" si="21">+ROUND(AR16*AS16*U16*V16,0)</f>
        <v>4400000</v>
      </c>
      <c r="AU16" s="7">
        <v>1</v>
      </c>
      <c r="AV16" s="7">
        <v>0.17</v>
      </c>
      <c r="AW16" s="78">
        <f t="shared" ref="AW16:AW24" si="22">+ROUND(AU16*AV16*$U16*$V16,0)</f>
        <v>748000</v>
      </c>
      <c r="AX16" s="7">
        <v>1</v>
      </c>
      <c r="AY16" s="7">
        <v>1</v>
      </c>
      <c r="AZ16" s="78">
        <f t="shared" si="5"/>
        <v>4400000</v>
      </c>
      <c r="BA16" s="7">
        <v>1</v>
      </c>
      <c r="BB16" s="7">
        <v>1</v>
      </c>
      <c r="BC16" s="78">
        <f t="shared" si="6"/>
        <v>4400000</v>
      </c>
      <c r="BD16" s="7">
        <v>1</v>
      </c>
      <c r="BE16" s="7">
        <v>1</v>
      </c>
      <c r="BF16" s="78">
        <f t="shared" si="7"/>
        <v>4400000</v>
      </c>
      <c r="BG16" s="7">
        <v>1</v>
      </c>
      <c r="BH16" s="7">
        <v>0.28999999999999998</v>
      </c>
      <c r="BI16" s="78">
        <f t="shared" si="8"/>
        <v>1276000</v>
      </c>
      <c r="BJ16" s="7">
        <v>0</v>
      </c>
      <c r="BK16" s="7">
        <v>0</v>
      </c>
      <c r="BL16" s="78">
        <f t="shared" si="9"/>
        <v>0</v>
      </c>
      <c r="BM16" s="7">
        <v>0</v>
      </c>
      <c r="BN16" s="7">
        <v>0</v>
      </c>
      <c r="BO16" s="78">
        <f t="shared" si="10"/>
        <v>0</v>
      </c>
      <c r="BP16" s="119">
        <f t="shared" si="11"/>
        <v>8.9932999999999996</v>
      </c>
      <c r="BQ16" s="120">
        <f t="shared" si="12"/>
        <v>39570520</v>
      </c>
      <c r="BR16" s="121">
        <f t="shared" si="13"/>
        <v>6.7000000000003723E-3</v>
      </c>
      <c r="BS16" s="78">
        <f t="shared" si="14"/>
        <v>29480</v>
      </c>
      <c r="BU16" s="171"/>
      <c r="BV16" s="199"/>
    </row>
    <row r="17" spans="1:76" s="170" customFormat="1" ht="55" x14ac:dyDescent="0.25">
      <c r="A17" s="71" t="s">
        <v>36</v>
      </c>
      <c r="B17" s="13" t="s">
        <v>35</v>
      </c>
      <c r="C17" s="122">
        <v>4400000</v>
      </c>
      <c r="D17" s="63">
        <v>1</v>
      </c>
      <c r="E17" s="7">
        <v>1</v>
      </c>
      <c r="F17" s="7">
        <v>9</v>
      </c>
      <c r="G17" s="78">
        <f t="shared" si="0"/>
        <v>39600000</v>
      </c>
      <c r="H17" s="6" t="s">
        <v>35</v>
      </c>
      <c r="I17" s="122">
        <v>4400000</v>
      </c>
      <c r="J17" s="63">
        <v>1</v>
      </c>
      <c r="K17" s="7">
        <v>0</v>
      </c>
      <c r="L17" s="7">
        <v>0</v>
      </c>
      <c r="M17" s="78">
        <f t="shared" si="1"/>
        <v>0</v>
      </c>
      <c r="N17" s="6" t="s">
        <v>35</v>
      </c>
      <c r="O17" s="122">
        <v>4400000</v>
      </c>
      <c r="P17" s="63">
        <v>1</v>
      </c>
      <c r="Q17" s="7">
        <v>0</v>
      </c>
      <c r="R17" s="7">
        <v>0</v>
      </c>
      <c r="S17" s="187">
        <f t="shared" si="2"/>
        <v>0</v>
      </c>
      <c r="T17" s="197" t="s">
        <v>35</v>
      </c>
      <c r="U17" s="122">
        <v>4400000</v>
      </c>
      <c r="V17" s="63">
        <v>1</v>
      </c>
      <c r="W17" s="7">
        <f t="shared" si="15"/>
        <v>1</v>
      </c>
      <c r="X17" s="7">
        <f t="shared" si="15"/>
        <v>9</v>
      </c>
      <c r="Y17" s="78">
        <f t="shared" si="3"/>
        <v>39600000</v>
      </c>
      <c r="Z17" s="7">
        <v>0</v>
      </c>
      <c r="AA17" s="7">
        <v>0</v>
      </c>
      <c r="AB17" s="78">
        <f t="shared" si="16"/>
        <v>0</v>
      </c>
      <c r="AC17" s="7">
        <v>0</v>
      </c>
      <c r="AD17" s="7">
        <v>0</v>
      </c>
      <c r="AE17" s="78">
        <f t="shared" si="4"/>
        <v>0</v>
      </c>
      <c r="AF17" s="7">
        <v>0</v>
      </c>
      <c r="AG17" s="7">
        <v>0</v>
      </c>
      <c r="AH17" s="78">
        <f>+ROUND(AG17*AF17*V17*U17,0)</f>
        <v>0</v>
      </c>
      <c r="AI17" s="167">
        <v>0</v>
      </c>
      <c r="AJ17" s="167">
        <v>0</v>
      </c>
      <c r="AK17" s="168">
        <f t="shared" si="18"/>
        <v>0</v>
      </c>
      <c r="AL17" s="7">
        <v>1</v>
      </c>
      <c r="AM17" s="7">
        <v>0</v>
      </c>
      <c r="AN17" s="78">
        <f t="shared" si="19"/>
        <v>0</v>
      </c>
      <c r="AO17" s="7">
        <v>1</v>
      </c>
      <c r="AP17" s="7">
        <v>0</v>
      </c>
      <c r="AQ17" s="78">
        <f t="shared" si="20"/>
        <v>0</v>
      </c>
      <c r="AR17" s="167">
        <v>1</v>
      </c>
      <c r="AS17" s="167">
        <v>0</v>
      </c>
      <c r="AT17" s="168">
        <f t="shared" si="21"/>
        <v>0</v>
      </c>
      <c r="AU17" s="7">
        <v>1</v>
      </c>
      <c r="AV17" s="7">
        <v>0</v>
      </c>
      <c r="AW17" s="78">
        <f t="shared" si="22"/>
        <v>0</v>
      </c>
      <c r="AX17" s="7">
        <v>1</v>
      </c>
      <c r="AY17" s="7">
        <v>0</v>
      </c>
      <c r="AZ17" s="78">
        <f t="shared" si="5"/>
        <v>0</v>
      </c>
      <c r="BA17" s="7">
        <v>1</v>
      </c>
      <c r="BB17" s="7">
        <v>0.83333333333333337</v>
      </c>
      <c r="BC17" s="78">
        <f t="shared" si="6"/>
        <v>3666667</v>
      </c>
      <c r="BD17" s="7">
        <v>1</v>
      </c>
      <c r="BE17" s="7">
        <v>1</v>
      </c>
      <c r="BF17" s="78">
        <f t="shared" si="7"/>
        <v>4400000</v>
      </c>
      <c r="BG17" s="7">
        <v>1</v>
      </c>
      <c r="BH17" s="7">
        <v>0.43</v>
      </c>
      <c r="BI17" s="78">
        <f t="shared" si="8"/>
        <v>1892000</v>
      </c>
      <c r="BJ17" s="7">
        <v>0</v>
      </c>
      <c r="BK17" s="7">
        <v>0</v>
      </c>
      <c r="BL17" s="78">
        <f t="shared" si="9"/>
        <v>0</v>
      </c>
      <c r="BM17" s="7">
        <v>0</v>
      </c>
      <c r="BN17" s="7">
        <v>0</v>
      </c>
      <c r="BO17" s="78">
        <f t="shared" si="10"/>
        <v>0</v>
      </c>
      <c r="BP17" s="119">
        <f t="shared" si="11"/>
        <v>2.2633333333333336</v>
      </c>
      <c r="BQ17" s="120">
        <f t="shared" si="12"/>
        <v>9958667</v>
      </c>
      <c r="BR17" s="121">
        <f t="shared" si="13"/>
        <v>6.7366666666666664</v>
      </c>
      <c r="BS17" s="78">
        <f t="shared" si="14"/>
        <v>29641333</v>
      </c>
      <c r="BU17" s="171"/>
      <c r="BV17" s="199"/>
    </row>
    <row r="18" spans="1:76" s="170" customFormat="1" ht="55" x14ac:dyDescent="0.25">
      <c r="A18" s="71" t="s">
        <v>36</v>
      </c>
      <c r="B18" s="13" t="s">
        <v>35</v>
      </c>
      <c r="C18" s="122">
        <v>4400000</v>
      </c>
      <c r="D18" s="63">
        <v>1</v>
      </c>
      <c r="E18" s="7">
        <v>1</v>
      </c>
      <c r="F18" s="7">
        <v>9</v>
      </c>
      <c r="G18" s="78">
        <f t="shared" si="0"/>
        <v>39600000</v>
      </c>
      <c r="H18" s="6" t="s">
        <v>35</v>
      </c>
      <c r="I18" s="122">
        <v>4400000</v>
      </c>
      <c r="J18" s="63">
        <v>1</v>
      </c>
      <c r="K18" s="7">
        <v>0</v>
      </c>
      <c r="L18" s="7">
        <v>0</v>
      </c>
      <c r="M18" s="78">
        <f t="shared" si="1"/>
        <v>0</v>
      </c>
      <c r="N18" s="6" t="s">
        <v>35</v>
      </c>
      <c r="O18" s="122">
        <v>4400000</v>
      </c>
      <c r="P18" s="63">
        <v>1</v>
      </c>
      <c r="Q18" s="7">
        <v>0</v>
      </c>
      <c r="R18" s="7">
        <v>0</v>
      </c>
      <c r="S18" s="187">
        <f t="shared" si="2"/>
        <v>0</v>
      </c>
      <c r="T18" s="197" t="s">
        <v>35</v>
      </c>
      <c r="U18" s="122">
        <v>4400000</v>
      </c>
      <c r="V18" s="63">
        <v>1</v>
      </c>
      <c r="W18" s="7">
        <f t="shared" si="15"/>
        <v>1</v>
      </c>
      <c r="X18" s="7">
        <f t="shared" si="15"/>
        <v>9</v>
      </c>
      <c r="Y18" s="78">
        <f t="shared" si="3"/>
        <v>39600000</v>
      </c>
      <c r="Z18" s="7">
        <v>0</v>
      </c>
      <c r="AA18" s="7">
        <v>0</v>
      </c>
      <c r="AB18" s="78">
        <f t="shared" si="16"/>
        <v>0</v>
      </c>
      <c r="AC18" s="7">
        <v>0</v>
      </c>
      <c r="AD18" s="7">
        <v>0</v>
      </c>
      <c r="AE18" s="78">
        <f t="shared" si="4"/>
        <v>0</v>
      </c>
      <c r="AF18" s="7">
        <v>0</v>
      </c>
      <c r="AG18" s="7">
        <v>0</v>
      </c>
      <c r="AH18" s="78">
        <f>+ROUND(AG18*AF18*V18*U18,0)</f>
        <v>0</v>
      </c>
      <c r="AI18" s="167">
        <v>0</v>
      </c>
      <c r="AJ18" s="167">
        <v>0</v>
      </c>
      <c r="AK18" s="168">
        <f t="shared" si="18"/>
        <v>0</v>
      </c>
      <c r="AL18" s="7">
        <v>1</v>
      </c>
      <c r="AM18" s="7">
        <v>0</v>
      </c>
      <c r="AN18" s="78">
        <f t="shared" si="19"/>
        <v>0</v>
      </c>
      <c r="AO18" s="7">
        <v>1</v>
      </c>
      <c r="AP18" s="7">
        <v>0</v>
      </c>
      <c r="AQ18" s="78">
        <f t="shared" si="20"/>
        <v>0</v>
      </c>
      <c r="AR18" s="167">
        <v>1</v>
      </c>
      <c r="AS18" s="167">
        <v>0</v>
      </c>
      <c r="AT18" s="168">
        <f t="shared" si="21"/>
        <v>0</v>
      </c>
      <c r="AU18" s="7">
        <v>1</v>
      </c>
      <c r="AV18" s="7">
        <v>0</v>
      </c>
      <c r="AW18" s="78">
        <f t="shared" si="22"/>
        <v>0</v>
      </c>
      <c r="AX18" s="7">
        <v>1</v>
      </c>
      <c r="AY18" s="7">
        <v>0</v>
      </c>
      <c r="AZ18" s="78">
        <f t="shared" si="5"/>
        <v>0</v>
      </c>
      <c r="BA18" s="7">
        <v>0</v>
      </c>
      <c r="BB18" s="7">
        <v>0</v>
      </c>
      <c r="BC18" s="78">
        <f t="shared" si="6"/>
        <v>0</v>
      </c>
      <c r="BD18" s="7">
        <v>0</v>
      </c>
      <c r="BE18" s="7">
        <v>0</v>
      </c>
      <c r="BF18" s="78">
        <f t="shared" si="7"/>
        <v>0</v>
      </c>
      <c r="BG18" s="7">
        <v>0</v>
      </c>
      <c r="BH18" s="7">
        <v>0</v>
      </c>
      <c r="BI18" s="78">
        <f t="shared" si="8"/>
        <v>0</v>
      </c>
      <c r="BJ18" s="7">
        <v>0</v>
      </c>
      <c r="BK18" s="7">
        <v>0</v>
      </c>
      <c r="BL18" s="78">
        <f t="shared" si="9"/>
        <v>0</v>
      </c>
      <c r="BM18" s="7">
        <v>0</v>
      </c>
      <c r="BN18" s="7">
        <v>0</v>
      </c>
      <c r="BO18" s="78">
        <f t="shared" si="10"/>
        <v>0</v>
      </c>
      <c r="BP18" s="119">
        <f t="shared" si="11"/>
        <v>0</v>
      </c>
      <c r="BQ18" s="120">
        <f t="shared" si="12"/>
        <v>0</v>
      </c>
      <c r="BR18" s="121">
        <f t="shared" si="13"/>
        <v>9</v>
      </c>
      <c r="BS18" s="78">
        <f t="shared" si="14"/>
        <v>39600000</v>
      </c>
      <c r="BU18" s="171"/>
      <c r="BV18" s="199"/>
    </row>
    <row r="19" spans="1:76" s="170" customFormat="1" ht="55" x14ac:dyDescent="0.25">
      <c r="A19" s="71" t="s">
        <v>37</v>
      </c>
      <c r="B19" s="13" t="s">
        <v>35</v>
      </c>
      <c r="C19" s="122">
        <v>3900000</v>
      </c>
      <c r="D19" s="63">
        <v>1</v>
      </c>
      <c r="E19" s="7">
        <v>1</v>
      </c>
      <c r="F19" s="7">
        <v>8</v>
      </c>
      <c r="G19" s="78">
        <f t="shared" si="0"/>
        <v>31200000</v>
      </c>
      <c r="H19" s="6" t="s">
        <v>35</v>
      </c>
      <c r="I19" s="122">
        <v>3900000</v>
      </c>
      <c r="J19" s="63">
        <v>1</v>
      </c>
      <c r="K19" s="7">
        <v>0</v>
      </c>
      <c r="L19" s="7">
        <v>0</v>
      </c>
      <c r="M19" s="78">
        <f t="shared" si="1"/>
        <v>0</v>
      </c>
      <c r="N19" s="6" t="s">
        <v>35</v>
      </c>
      <c r="O19" s="122">
        <v>3900000</v>
      </c>
      <c r="P19" s="63">
        <v>1</v>
      </c>
      <c r="Q19" s="7">
        <v>0</v>
      </c>
      <c r="R19" s="7">
        <v>0</v>
      </c>
      <c r="S19" s="187">
        <f t="shared" si="2"/>
        <v>0</v>
      </c>
      <c r="T19" s="197" t="s">
        <v>35</v>
      </c>
      <c r="U19" s="122">
        <v>3900000</v>
      </c>
      <c r="V19" s="63">
        <v>1</v>
      </c>
      <c r="W19" s="7">
        <f t="shared" si="15"/>
        <v>1</v>
      </c>
      <c r="X19" s="7">
        <f t="shared" si="15"/>
        <v>8</v>
      </c>
      <c r="Y19" s="78">
        <f t="shared" si="3"/>
        <v>31200000</v>
      </c>
      <c r="Z19" s="7">
        <f>+E19</f>
        <v>1</v>
      </c>
      <c r="AA19" s="7">
        <f>+ROUND(0.5,4)</f>
        <v>0.5</v>
      </c>
      <c r="AB19" s="78">
        <f t="shared" si="16"/>
        <v>1950000</v>
      </c>
      <c r="AC19" s="7">
        <v>1</v>
      </c>
      <c r="AD19" s="7">
        <v>1</v>
      </c>
      <c r="AE19" s="78">
        <f>+ROUND(U19*V19*AC19*AD19,0)</f>
        <v>3900000</v>
      </c>
      <c r="AF19" s="7">
        <v>1</v>
      </c>
      <c r="AG19" s="7">
        <v>1</v>
      </c>
      <c r="AH19" s="78">
        <f>+ROUND(AG19*AF19*V19*U19,0)</f>
        <v>3900000</v>
      </c>
      <c r="AI19" s="167">
        <v>1</v>
      </c>
      <c r="AJ19" s="167">
        <f t="shared" si="17"/>
        <v>0.23330000000000001</v>
      </c>
      <c r="AK19" s="168">
        <f t="shared" si="18"/>
        <v>909870</v>
      </c>
      <c r="AL19" s="7">
        <v>0</v>
      </c>
      <c r="AM19" s="7">
        <v>0</v>
      </c>
      <c r="AN19" s="78">
        <f t="shared" si="19"/>
        <v>0</v>
      </c>
      <c r="AO19" s="7">
        <v>0</v>
      </c>
      <c r="AP19" s="7">
        <v>0</v>
      </c>
      <c r="AQ19" s="78">
        <f t="shared" si="20"/>
        <v>0</v>
      </c>
      <c r="AR19" s="167">
        <v>1</v>
      </c>
      <c r="AS19" s="167">
        <v>0.33333333333333331</v>
      </c>
      <c r="AT19" s="168">
        <f t="shared" si="21"/>
        <v>1300000</v>
      </c>
      <c r="AU19" s="7">
        <v>1</v>
      </c>
      <c r="AV19" s="7">
        <v>0.17</v>
      </c>
      <c r="AW19" s="78">
        <f t="shared" si="22"/>
        <v>663000</v>
      </c>
      <c r="AX19" s="7">
        <v>1</v>
      </c>
      <c r="AY19" s="7">
        <v>0.4</v>
      </c>
      <c r="AZ19" s="78">
        <f t="shared" si="5"/>
        <v>1560000</v>
      </c>
      <c r="BA19" s="7">
        <v>0</v>
      </c>
      <c r="BB19" s="7">
        <v>0</v>
      </c>
      <c r="BC19" s="78">
        <f t="shared" si="6"/>
        <v>0</v>
      </c>
      <c r="BD19" s="7">
        <v>1</v>
      </c>
      <c r="BE19" s="7">
        <v>1</v>
      </c>
      <c r="BF19" s="78">
        <f t="shared" si="7"/>
        <v>3900000</v>
      </c>
      <c r="BG19" s="7">
        <v>1</v>
      </c>
      <c r="BH19" s="7">
        <v>0.43</v>
      </c>
      <c r="BI19" s="78">
        <f t="shared" si="8"/>
        <v>1677000</v>
      </c>
      <c r="BJ19" s="7">
        <v>0</v>
      </c>
      <c r="BK19" s="7">
        <v>0</v>
      </c>
      <c r="BL19" s="78">
        <f t="shared" si="9"/>
        <v>0</v>
      </c>
      <c r="BM19" s="7">
        <v>0</v>
      </c>
      <c r="BN19" s="7">
        <v>0</v>
      </c>
      <c r="BO19" s="78">
        <f t="shared" si="10"/>
        <v>0</v>
      </c>
      <c r="BP19" s="119">
        <f t="shared" si="11"/>
        <v>5.0666333333333329</v>
      </c>
      <c r="BQ19" s="120">
        <f t="shared" si="12"/>
        <v>19759870</v>
      </c>
      <c r="BR19" s="121">
        <f t="shared" si="13"/>
        <v>2.9333666666666671</v>
      </c>
      <c r="BS19" s="78">
        <f t="shared" si="14"/>
        <v>11440130</v>
      </c>
      <c r="BU19" s="171"/>
      <c r="BV19" s="199"/>
    </row>
    <row r="20" spans="1:76" s="170" customFormat="1" ht="55" x14ac:dyDescent="0.25">
      <c r="A20" s="71" t="s">
        <v>57</v>
      </c>
      <c r="B20" s="13" t="s">
        <v>35</v>
      </c>
      <c r="C20" s="122">
        <v>2800000</v>
      </c>
      <c r="D20" s="63">
        <v>1</v>
      </c>
      <c r="E20" s="7">
        <v>2</v>
      </c>
      <c r="F20" s="7">
        <v>8</v>
      </c>
      <c r="G20" s="78">
        <f t="shared" si="0"/>
        <v>44800000</v>
      </c>
      <c r="H20" s="6" t="s">
        <v>35</v>
      </c>
      <c r="I20" s="122">
        <v>2800000</v>
      </c>
      <c r="J20" s="63">
        <v>1</v>
      </c>
      <c r="K20" s="7">
        <v>0</v>
      </c>
      <c r="L20" s="7">
        <v>0</v>
      </c>
      <c r="M20" s="78">
        <f t="shared" si="1"/>
        <v>0</v>
      </c>
      <c r="N20" s="6" t="s">
        <v>35</v>
      </c>
      <c r="O20" s="122">
        <v>2800000</v>
      </c>
      <c r="P20" s="63">
        <v>1</v>
      </c>
      <c r="Q20" s="7">
        <v>0</v>
      </c>
      <c r="R20" s="7">
        <v>0</v>
      </c>
      <c r="S20" s="187">
        <f t="shared" si="2"/>
        <v>0</v>
      </c>
      <c r="T20" s="197" t="s">
        <v>35</v>
      </c>
      <c r="U20" s="122">
        <v>2800000</v>
      </c>
      <c r="V20" s="63">
        <v>1</v>
      </c>
      <c r="W20" s="7">
        <f t="shared" si="15"/>
        <v>2</v>
      </c>
      <c r="X20" s="7">
        <f t="shared" si="15"/>
        <v>8</v>
      </c>
      <c r="Y20" s="78">
        <f t="shared" si="3"/>
        <v>44800000</v>
      </c>
      <c r="Z20" s="7">
        <v>0</v>
      </c>
      <c r="AA20" s="7">
        <v>0</v>
      </c>
      <c r="AB20" s="78">
        <f t="shared" si="16"/>
        <v>0</v>
      </c>
      <c r="AC20" s="7">
        <v>0</v>
      </c>
      <c r="AD20" s="7">
        <v>0</v>
      </c>
      <c r="AE20" s="78">
        <f t="shared" ref="AE20:AE24" si="23">+ROUND(U20*V20*AC20*AD20,0)</f>
        <v>0</v>
      </c>
      <c r="AF20" s="7"/>
      <c r="AG20" s="11"/>
      <c r="AH20" s="78"/>
      <c r="AI20" s="7">
        <v>0</v>
      </c>
      <c r="AJ20" s="7">
        <v>0</v>
      </c>
      <c r="AK20" s="78">
        <f t="shared" si="18"/>
        <v>0</v>
      </c>
      <c r="AL20" s="7">
        <v>0</v>
      </c>
      <c r="AM20" s="7">
        <v>0</v>
      </c>
      <c r="AN20" s="78">
        <f t="shared" si="19"/>
        <v>0</v>
      </c>
      <c r="AO20" s="7">
        <v>0</v>
      </c>
      <c r="AP20" s="7">
        <v>0</v>
      </c>
      <c r="AQ20" s="78">
        <f t="shared" si="20"/>
        <v>0</v>
      </c>
      <c r="AR20" s="7">
        <v>0</v>
      </c>
      <c r="AS20" s="7">
        <v>0</v>
      </c>
      <c r="AT20" s="78">
        <f t="shared" si="21"/>
        <v>0</v>
      </c>
      <c r="AU20" s="7">
        <v>0</v>
      </c>
      <c r="AV20" s="7">
        <v>0</v>
      </c>
      <c r="AW20" s="78">
        <f t="shared" si="22"/>
        <v>0</v>
      </c>
      <c r="AX20" s="7">
        <v>0</v>
      </c>
      <c r="AY20" s="7">
        <v>0</v>
      </c>
      <c r="AZ20" s="78">
        <f t="shared" si="5"/>
        <v>0</v>
      </c>
      <c r="BA20" s="7">
        <v>0</v>
      </c>
      <c r="BB20" s="7">
        <v>0</v>
      </c>
      <c r="BC20" s="78">
        <f t="shared" si="6"/>
        <v>0</v>
      </c>
      <c r="BD20" s="7">
        <v>0</v>
      </c>
      <c r="BE20" s="7">
        <v>0</v>
      </c>
      <c r="BF20" s="78">
        <f t="shared" si="7"/>
        <v>0</v>
      </c>
      <c r="BG20" s="7">
        <v>0</v>
      </c>
      <c r="BH20" s="7">
        <v>0</v>
      </c>
      <c r="BI20" s="78">
        <f t="shared" si="8"/>
        <v>0</v>
      </c>
      <c r="BJ20" s="7">
        <v>0</v>
      </c>
      <c r="BK20" s="7">
        <v>0</v>
      </c>
      <c r="BL20" s="78">
        <f t="shared" si="9"/>
        <v>0</v>
      </c>
      <c r="BM20" s="7">
        <v>0</v>
      </c>
      <c r="BN20" s="7">
        <v>0</v>
      </c>
      <c r="BO20" s="78">
        <f t="shared" si="10"/>
        <v>0</v>
      </c>
      <c r="BP20" s="119">
        <f t="shared" si="11"/>
        <v>0</v>
      </c>
      <c r="BQ20" s="120">
        <f t="shared" si="12"/>
        <v>0</v>
      </c>
      <c r="BR20" s="121">
        <f t="shared" si="13"/>
        <v>16</v>
      </c>
      <c r="BS20" s="78">
        <f t="shared" si="14"/>
        <v>44800000</v>
      </c>
      <c r="BU20" s="171"/>
      <c r="BV20" s="199"/>
    </row>
    <row r="21" spans="1:76" s="170" customFormat="1" ht="55" x14ac:dyDescent="0.25">
      <c r="A21" s="71" t="s">
        <v>58</v>
      </c>
      <c r="B21" s="13" t="s">
        <v>35</v>
      </c>
      <c r="C21" s="122">
        <v>3900000</v>
      </c>
      <c r="D21" s="63">
        <v>1</v>
      </c>
      <c r="E21" s="7">
        <v>1</v>
      </c>
      <c r="F21" s="7">
        <v>8</v>
      </c>
      <c r="G21" s="78">
        <f t="shared" si="0"/>
        <v>31200000</v>
      </c>
      <c r="H21" s="6" t="s">
        <v>35</v>
      </c>
      <c r="I21" s="122">
        <v>3900000</v>
      </c>
      <c r="J21" s="63">
        <v>1</v>
      </c>
      <c r="K21" s="7">
        <v>0</v>
      </c>
      <c r="L21" s="7">
        <v>0</v>
      </c>
      <c r="M21" s="78">
        <f t="shared" si="1"/>
        <v>0</v>
      </c>
      <c r="N21" s="6" t="s">
        <v>35</v>
      </c>
      <c r="O21" s="122">
        <v>3900000</v>
      </c>
      <c r="P21" s="63">
        <v>1</v>
      </c>
      <c r="Q21" s="7">
        <v>0</v>
      </c>
      <c r="R21" s="7">
        <v>0</v>
      </c>
      <c r="S21" s="187">
        <f t="shared" si="2"/>
        <v>0</v>
      </c>
      <c r="T21" s="197" t="s">
        <v>35</v>
      </c>
      <c r="U21" s="122">
        <v>3900000</v>
      </c>
      <c r="V21" s="63">
        <v>1</v>
      </c>
      <c r="W21" s="7">
        <f t="shared" si="15"/>
        <v>1</v>
      </c>
      <c r="X21" s="7">
        <f t="shared" si="15"/>
        <v>8</v>
      </c>
      <c r="Y21" s="78">
        <f t="shared" si="3"/>
        <v>31200000</v>
      </c>
      <c r="Z21" s="7">
        <f>+E21</f>
        <v>1</v>
      </c>
      <c r="AA21" s="7">
        <f>+ROUND(13/30,4)</f>
        <v>0.43330000000000002</v>
      </c>
      <c r="AB21" s="78">
        <f t="shared" si="16"/>
        <v>1689870</v>
      </c>
      <c r="AC21" s="7">
        <v>1</v>
      </c>
      <c r="AD21" s="7">
        <v>1</v>
      </c>
      <c r="AE21" s="78">
        <f t="shared" si="23"/>
        <v>3900000</v>
      </c>
      <c r="AF21" s="7">
        <v>1</v>
      </c>
      <c r="AG21" s="7">
        <v>1</v>
      </c>
      <c r="AH21" s="78">
        <f>+ROUND(AG21*AF21*V21*U21,0)</f>
        <v>3900000</v>
      </c>
      <c r="AI21" s="167">
        <v>1</v>
      </c>
      <c r="AJ21" s="167">
        <f>+ROUND(0.233333333333333,4)</f>
        <v>0.23330000000000001</v>
      </c>
      <c r="AK21" s="168">
        <f t="shared" si="18"/>
        <v>909870</v>
      </c>
      <c r="AL21" s="7">
        <v>0</v>
      </c>
      <c r="AM21" s="7">
        <v>0</v>
      </c>
      <c r="AN21" s="78">
        <f t="shared" si="19"/>
        <v>0</v>
      </c>
      <c r="AO21" s="7">
        <v>1</v>
      </c>
      <c r="AP21" s="7">
        <v>1</v>
      </c>
      <c r="AQ21" s="78">
        <f t="shared" si="20"/>
        <v>3900000</v>
      </c>
      <c r="AR21" s="167">
        <v>1</v>
      </c>
      <c r="AS21" s="167">
        <v>1</v>
      </c>
      <c r="AT21" s="168">
        <f t="shared" si="21"/>
        <v>3900000</v>
      </c>
      <c r="AU21" s="7">
        <v>1</v>
      </c>
      <c r="AV21" s="7">
        <v>0.17</v>
      </c>
      <c r="AW21" s="78">
        <f t="shared" si="22"/>
        <v>663000</v>
      </c>
      <c r="AX21" s="7">
        <v>1</v>
      </c>
      <c r="AY21" s="7">
        <v>0.3</v>
      </c>
      <c r="AZ21" s="78">
        <f t="shared" si="5"/>
        <v>1170000</v>
      </c>
      <c r="BA21" s="7">
        <v>0</v>
      </c>
      <c r="BB21" s="7">
        <v>0</v>
      </c>
      <c r="BC21" s="78">
        <f t="shared" si="6"/>
        <v>0</v>
      </c>
      <c r="BD21" s="7">
        <v>1</v>
      </c>
      <c r="BE21" s="7">
        <v>0.53333333333333333</v>
      </c>
      <c r="BF21" s="78">
        <f t="shared" si="7"/>
        <v>2080000</v>
      </c>
      <c r="BG21" s="7">
        <v>1</v>
      </c>
      <c r="BH21" s="7">
        <v>0.43</v>
      </c>
      <c r="BI21" s="78">
        <f t="shared" si="8"/>
        <v>1677000</v>
      </c>
      <c r="BJ21" s="7">
        <v>0</v>
      </c>
      <c r="BK21" s="7">
        <v>0</v>
      </c>
      <c r="BL21" s="78">
        <f t="shared" si="9"/>
        <v>0</v>
      </c>
      <c r="BM21" s="7">
        <v>0</v>
      </c>
      <c r="BN21" s="7">
        <v>0</v>
      </c>
      <c r="BO21" s="78">
        <f t="shared" si="10"/>
        <v>0</v>
      </c>
      <c r="BP21" s="119">
        <f t="shared" si="11"/>
        <v>6.0999333333333325</v>
      </c>
      <c r="BQ21" s="120">
        <f t="shared" si="12"/>
        <v>23789740</v>
      </c>
      <c r="BR21" s="121">
        <f t="shared" si="13"/>
        <v>1.9000666666666675</v>
      </c>
      <c r="BS21" s="78">
        <f t="shared" si="14"/>
        <v>7410260</v>
      </c>
      <c r="BU21" s="171"/>
      <c r="BV21" s="199"/>
    </row>
    <row r="22" spans="1:76" s="170" customFormat="1" ht="55" x14ac:dyDescent="0.25">
      <c r="A22" s="71" t="s">
        <v>59</v>
      </c>
      <c r="B22" s="13" t="s">
        <v>35</v>
      </c>
      <c r="C22" s="122">
        <v>3000000</v>
      </c>
      <c r="D22" s="63">
        <v>1</v>
      </c>
      <c r="E22" s="7">
        <v>2</v>
      </c>
      <c r="F22" s="7">
        <v>8</v>
      </c>
      <c r="G22" s="78">
        <f t="shared" si="0"/>
        <v>48000000</v>
      </c>
      <c r="H22" s="6" t="s">
        <v>35</v>
      </c>
      <c r="I22" s="122">
        <v>3000000</v>
      </c>
      <c r="J22" s="63">
        <v>1</v>
      </c>
      <c r="K22" s="7">
        <v>0</v>
      </c>
      <c r="L22" s="7">
        <v>0</v>
      </c>
      <c r="M22" s="78">
        <f t="shared" si="1"/>
        <v>0</v>
      </c>
      <c r="N22" s="6" t="s">
        <v>35</v>
      </c>
      <c r="O22" s="122">
        <v>3000000</v>
      </c>
      <c r="P22" s="63">
        <v>1</v>
      </c>
      <c r="Q22" s="7">
        <v>0</v>
      </c>
      <c r="R22" s="7">
        <v>0</v>
      </c>
      <c r="S22" s="187">
        <f t="shared" si="2"/>
        <v>0</v>
      </c>
      <c r="T22" s="197" t="s">
        <v>35</v>
      </c>
      <c r="U22" s="122">
        <v>3000000</v>
      </c>
      <c r="V22" s="63">
        <v>1</v>
      </c>
      <c r="W22" s="7">
        <f t="shared" si="15"/>
        <v>2</v>
      </c>
      <c r="X22" s="7">
        <f t="shared" si="15"/>
        <v>8</v>
      </c>
      <c r="Y22" s="78">
        <f t="shared" si="3"/>
        <v>48000000</v>
      </c>
      <c r="Z22" s="7">
        <v>0</v>
      </c>
      <c r="AA22" s="7">
        <v>0</v>
      </c>
      <c r="AB22" s="78">
        <f t="shared" si="16"/>
        <v>0</v>
      </c>
      <c r="AC22" s="7">
        <v>0</v>
      </c>
      <c r="AD22" s="7">
        <v>0</v>
      </c>
      <c r="AE22" s="78">
        <f t="shared" si="23"/>
        <v>0</v>
      </c>
      <c r="AF22" s="7"/>
      <c r="AG22" s="11"/>
      <c r="AH22" s="78"/>
      <c r="AI22" s="7">
        <v>0</v>
      </c>
      <c r="AJ22" s="7">
        <v>0</v>
      </c>
      <c r="AK22" s="78">
        <f t="shared" si="18"/>
        <v>0</v>
      </c>
      <c r="AL22" s="7">
        <v>0</v>
      </c>
      <c r="AM22" s="7">
        <v>0</v>
      </c>
      <c r="AN22" s="78">
        <f t="shared" si="19"/>
        <v>0</v>
      </c>
      <c r="AO22" s="7">
        <v>0</v>
      </c>
      <c r="AP22" s="7">
        <v>0</v>
      </c>
      <c r="AQ22" s="78">
        <f t="shared" si="20"/>
        <v>0</v>
      </c>
      <c r="AR22" s="7">
        <v>0</v>
      </c>
      <c r="AS22" s="7">
        <v>0</v>
      </c>
      <c r="AT22" s="78">
        <f t="shared" si="21"/>
        <v>0</v>
      </c>
      <c r="AU22" s="7">
        <v>0</v>
      </c>
      <c r="AV22" s="7">
        <v>0</v>
      </c>
      <c r="AW22" s="78">
        <f t="shared" si="22"/>
        <v>0</v>
      </c>
      <c r="AX22" s="7">
        <v>0</v>
      </c>
      <c r="AY22" s="7">
        <v>0</v>
      </c>
      <c r="AZ22" s="78">
        <f t="shared" si="5"/>
        <v>0</v>
      </c>
      <c r="BA22" s="7">
        <v>0</v>
      </c>
      <c r="BB22" s="7">
        <v>0</v>
      </c>
      <c r="BC22" s="78">
        <f t="shared" si="6"/>
        <v>0</v>
      </c>
      <c r="BD22" s="7">
        <v>0</v>
      </c>
      <c r="BE22" s="7">
        <v>0</v>
      </c>
      <c r="BF22" s="78">
        <f t="shared" si="7"/>
        <v>0</v>
      </c>
      <c r="BG22" s="7">
        <v>0</v>
      </c>
      <c r="BH22" s="7">
        <v>0</v>
      </c>
      <c r="BI22" s="78">
        <f t="shared" si="8"/>
        <v>0</v>
      </c>
      <c r="BJ22" s="7">
        <v>0</v>
      </c>
      <c r="BK22" s="7">
        <v>0</v>
      </c>
      <c r="BL22" s="78">
        <f t="shared" si="9"/>
        <v>0</v>
      </c>
      <c r="BM22" s="7">
        <v>0</v>
      </c>
      <c r="BN22" s="7">
        <v>0</v>
      </c>
      <c r="BO22" s="78">
        <f t="shared" si="10"/>
        <v>0</v>
      </c>
      <c r="BP22" s="119">
        <f t="shared" si="11"/>
        <v>0</v>
      </c>
      <c r="BQ22" s="120">
        <f t="shared" si="12"/>
        <v>0</v>
      </c>
      <c r="BR22" s="121">
        <f t="shared" si="13"/>
        <v>16</v>
      </c>
      <c r="BS22" s="78">
        <f t="shared" si="14"/>
        <v>48000000</v>
      </c>
      <c r="BU22" s="171"/>
      <c r="BV22" s="199"/>
    </row>
    <row r="23" spans="1:76" s="170" customFormat="1" ht="55" x14ac:dyDescent="0.25">
      <c r="A23" s="71" t="s">
        <v>60</v>
      </c>
      <c r="B23" s="13" t="s">
        <v>35</v>
      </c>
      <c r="C23" s="122">
        <v>3400000</v>
      </c>
      <c r="D23" s="63">
        <v>1</v>
      </c>
      <c r="E23" s="7">
        <v>1</v>
      </c>
      <c r="F23" s="7">
        <v>8</v>
      </c>
      <c r="G23" s="78">
        <f t="shared" si="0"/>
        <v>27200000</v>
      </c>
      <c r="H23" s="6" t="s">
        <v>35</v>
      </c>
      <c r="I23" s="122">
        <v>3400000</v>
      </c>
      <c r="J23" s="63">
        <v>1</v>
      </c>
      <c r="K23" s="7">
        <v>0</v>
      </c>
      <c r="L23" s="7">
        <v>0</v>
      </c>
      <c r="M23" s="122">
        <f t="shared" si="1"/>
        <v>0</v>
      </c>
      <c r="N23" s="13" t="s">
        <v>35</v>
      </c>
      <c r="O23" s="122">
        <v>3400000</v>
      </c>
      <c r="P23" s="63">
        <v>1</v>
      </c>
      <c r="Q23" s="7">
        <v>0</v>
      </c>
      <c r="R23" s="7">
        <v>0</v>
      </c>
      <c r="S23" s="187">
        <f t="shared" si="2"/>
        <v>0</v>
      </c>
      <c r="T23" s="197" t="s">
        <v>35</v>
      </c>
      <c r="U23" s="122">
        <v>3400000</v>
      </c>
      <c r="V23" s="63">
        <v>1</v>
      </c>
      <c r="W23" s="7">
        <f t="shared" si="15"/>
        <v>1</v>
      </c>
      <c r="X23" s="7">
        <f t="shared" si="15"/>
        <v>8</v>
      </c>
      <c r="Y23" s="78">
        <f t="shared" si="3"/>
        <v>27200000</v>
      </c>
      <c r="Z23" s="7">
        <f>+E23</f>
        <v>1</v>
      </c>
      <c r="AA23" s="7">
        <f>+ROUND(0.5,4)</f>
        <v>0.5</v>
      </c>
      <c r="AB23" s="78">
        <f t="shared" si="16"/>
        <v>1700000</v>
      </c>
      <c r="AC23" s="7">
        <v>1</v>
      </c>
      <c r="AD23" s="7">
        <v>1</v>
      </c>
      <c r="AE23" s="78">
        <f t="shared" si="23"/>
        <v>3400000</v>
      </c>
      <c r="AF23" s="7">
        <v>1</v>
      </c>
      <c r="AG23" s="7">
        <v>1</v>
      </c>
      <c r="AH23" s="78">
        <f>+ROUND(AG23*AF23*V23*U23,0)</f>
        <v>3400000</v>
      </c>
      <c r="AI23" s="167">
        <v>1</v>
      </c>
      <c r="AJ23" s="167">
        <f>+ROUND(0.233333333333333,4)</f>
        <v>0.23330000000000001</v>
      </c>
      <c r="AK23" s="168">
        <f t="shared" si="18"/>
        <v>793220</v>
      </c>
      <c r="AL23" s="7">
        <v>1</v>
      </c>
      <c r="AM23" s="7">
        <f>+ROUND(0.466666666666667,4)</f>
        <v>0.4667</v>
      </c>
      <c r="AN23" s="78">
        <f t="shared" si="19"/>
        <v>1586780</v>
      </c>
      <c r="AO23" s="7">
        <v>1</v>
      </c>
      <c r="AP23" s="7">
        <v>1</v>
      </c>
      <c r="AQ23" s="78">
        <f t="shared" si="20"/>
        <v>3400000</v>
      </c>
      <c r="AR23" s="167">
        <v>1</v>
      </c>
      <c r="AS23" s="167">
        <v>1</v>
      </c>
      <c r="AT23" s="168">
        <f t="shared" si="21"/>
        <v>3400000</v>
      </c>
      <c r="AU23" s="7">
        <v>1</v>
      </c>
      <c r="AV23" s="7">
        <v>0.17</v>
      </c>
      <c r="AW23" s="78">
        <f t="shared" si="22"/>
        <v>578000</v>
      </c>
      <c r="AX23" s="7">
        <v>1</v>
      </c>
      <c r="AY23" s="7">
        <v>0.3</v>
      </c>
      <c r="AZ23" s="78">
        <f t="shared" si="5"/>
        <v>1020000</v>
      </c>
      <c r="BA23" s="7">
        <v>0</v>
      </c>
      <c r="BB23" s="7">
        <v>0</v>
      </c>
      <c r="BC23" s="78">
        <f t="shared" si="6"/>
        <v>0</v>
      </c>
      <c r="BD23" s="7">
        <v>0</v>
      </c>
      <c r="BE23" s="7">
        <v>0</v>
      </c>
      <c r="BF23" s="78">
        <f t="shared" si="7"/>
        <v>0</v>
      </c>
      <c r="BG23" s="7">
        <v>0</v>
      </c>
      <c r="BH23" s="7">
        <v>0</v>
      </c>
      <c r="BI23" s="78">
        <f t="shared" si="8"/>
        <v>0</v>
      </c>
      <c r="BJ23" s="7">
        <v>0</v>
      </c>
      <c r="BK23" s="7">
        <v>0</v>
      </c>
      <c r="BL23" s="78">
        <f t="shared" si="9"/>
        <v>0</v>
      </c>
      <c r="BM23" s="7">
        <v>0</v>
      </c>
      <c r="BN23" s="7">
        <v>0</v>
      </c>
      <c r="BO23" s="78">
        <f t="shared" si="10"/>
        <v>0</v>
      </c>
      <c r="BP23" s="119">
        <f t="shared" si="11"/>
        <v>5.669999999999999</v>
      </c>
      <c r="BQ23" s="120">
        <f t="shared" si="12"/>
        <v>19278000</v>
      </c>
      <c r="BR23" s="121">
        <f t="shared" si="13"/>
        <v>2.330000000000001</v>
      </c>
      <c r="BS23" s="78">
        <f t="shared" si="14"/>
        <v>7922000</v>
      </c>
      <c r="BU23" s="171"/>
      <c r="BV23" s="199"/>
    </row>
    <row r="24" spans="1:76" s="170" customFormat="1" ht="55" x14ac:dyDescent="0.25">
      <c r="A24" s="71" t="s">
        <v>61</v>
      </c>
      <c r="B24" s="13" t="s">
        <v>35</v>
      </c>
      <c r="C24" s="122">
        <v>2600000</v>
      </c>
      <c r="D24" s="63">
        <v>1</v>
      </c>
      <c r="E24" s="7">
        <v>4</v>
      </c>
      <c r="F24" s="7">
        <v>8</v>
      </c>
      <c r="G24" s="78">
        <f t="shared" si="0"/>
        <v>83200000</v>
      </c>
      <c r="H24" s="6" t="s">
        <v>35</v>
      </c>
      <c r="I24" s="122">
        <v>2600000</v>
      </c>
      <c r="J24" s="63">
        <v>1</v>
      </c>
      <c r="K24" s="7">
        <v>0</v>
      </c>
      <c r="L24" s="7">
        <v>0</v>
      </c>
      <c r="M24" s="122">
        <f t="shared" si="1"/>
        <v>0</v>
      </c>
      <c r="N24" s="13" t="s">
        <v>35</v>
      </c>
      <c r="O24" s="122">
        <v>2600000</v>
      </c>
      <c r="P24" s="63">
        <v>1</v>
      </c>
      <c r="Q24" s="7">
        <v>0</v>
      </c>
      <c r="R24" s="7">
        <v>0</v>
      </c>
      <c r="S24" s="187">
        <f t="shared" si="2"/>
        <v>0</v>
      </c>
      <c r="T24" s="197" t="s">
        <v>35</v>
      </c>
      <c r="U24" s="122">
        <v>2600000</v>
      </c>
      <c r="V24" s="63">
        <v>1</v>
      </c>
      <c r="W24" s="7">
        <f t="shared" si="15"/>
        <v>4</v>
      </c>
      <c r="X24" s="7">
        <f t="shared" si="15"/>
        <v>8</v>
      </c>
      <c r="Y24" s="78">
        <f t="shared" si="3"/>
        <v>83200000</v>
      </c>
      <c r="Z24" s="7">
        <v>0</v>
      </c>
      <c r="AA24" s="7">
        <v>0</v>
      </c>
      <c r="AB24" s="78">
        <f t="shared" si="16"/>
        <v>0</v>
      </c>
      <c r="AC24" s="7">
        <v>0</v>
      </c>
      <c r="AD24" s="7">
        <v>0</v>
      </c>
      <c r="AE24" s="78">
        <f t="shared" si="23"/>
        <v>0</v>
      </c>
      <c r="AF24" s="7"/>
      <c r="AG24" s="11"/>
      <c r="AH24" s="78"/>
      <c r="AI24" s="7">
        <v>0</v>
      </c>
      <c r="AJ24" s="7">
        <v>0</v>
      </c>
      <c r="AK24" s="78">
        <f t="shared" si="18"/>
        <v>0</v>
      </c>
      <c r="AL24" s="7">
        <v>0</v>
      </c>
      <c r="AM24" s="7">
        <v>0</v>
      </c>
      <c r="AN24" s="78">
        <f t="shared" si="19"/>
        <v>0</v>
      </c>
      <c r="AO24" s="7">
        <v>0</v>
      </c>
      <c r="AP24" s="7">
        <v>0</v>
      </c>
      <c r="AQ24" s="78">
        <f t="shared" si="20"/>
        <v>0</v>
      </c>
      <c r="AR24" s="7">
        <v>0</v>
      </c>
      <c r="AS24" s="7">
        <v>0</v>
      </c>
      <c r="AT24" s="78">
        <f t="shared" si="21"/>
        <v>0</v>
      </c>
      <c r="AU24" s="7">
        <v>0</v>
      </c>
      <c r="AV24" s="7">
        <v>0</v>
      </c>
      <c r="AW24" s="78">
        <f t="shared" si="22"/>
        <v>0</v>
      </c>
      <c r="AX24" s="7">
        <v>0</v>
      </c>
      <c r="AY24" s="7">
        <v>0</v>
      </c>
      <c r="AZ24" s="78">
        <f t="shared" si="5"/>
        <v>0</v>
      </c>
      <c r="BA24" s="7">
        <v>0</v>
      </c>
      <c r="BB24" s="7">
        <v>0</v>
      </c>
      <c r="BC24" s="78">
        <f t="shared" si="6"/>
        <v>0</v>
      </c>
      <c r="BD24" s="7">
        <v>1</v>
      </c>
      <c r="BE24" s="7">
        <v>0.16666666666666666</v>
      </c>
      <c r="BF24" s="78">
        <f t="shared" si="7"/>
        <v>433333</v>
      </c>
      <c r="BG24" s="7">
        <v>1</v>
      </c>
      <c r="BH24" s="7">
        <v>0.43</v>
      </c>
      <c r="BI24" s="78">
        <f t="shared" si="8"/>
        <v>1118000</v>
      </c>
      <c r="BJ24" s="7">
        <v>0</v>
      </c>
      <c r="BK24" s="7">
        <v>0</v>
      </c>
      <c r="BL24" s="78">
        <f t="shared" si="9"/>
        <v>0</v>
      </c>
      <c r="BM24" s="7">
        <v>0</v>
      </c>
      <c r="BN24" s="7">
        <v>0</v>
      </c>
      <c r="BO24" s="78">
        <f t="shared" si="10"/>
        <v>0</v>
      </c>
      <c r="BP24" s="119">
        <f t="shared" si="11"/>
        <v>0.59666666666666668</v>
      </c>
      <c r="BQ24" s="120">
        <f t="shared" si="12"/>
        <v>1551333</v>
      </c>
      <c r="BR24" s="121">
        <f t="shared" si="13"/>
        <v>31.403333333333332</v>
      </c>
      <c r="BS24" s="78">
        <f t="shared" si="14"/>
        <v>81648667</v>
      </c>
      <c r="BU24" s="171"/>
      <c r="BV24" s="199"/>
    </row>
    <row r="25" spans="1:76" s="170" customFormat="1" ht="27.5" x14ac:dyDescent="0.25">
      <c r="A25" s="71"/>
      <c r="B25" s="13"/>
      <c r="C25" s="122"/>
      <c r="D25" s="63"/>
      <c r="E25" s="7"/>
      <c r="F25" s="7"/>
      <c r="G25" s="78"/>
      <c r="H25" s="6"/>
      <c r="I25" s="122"/>
      <c r="J25" s="63"/>
      <c r="K25" s="7"/>
      <c r="L25" s="7"/>
      <c r="M25" s="122"/>
      <c r="N25" s="13"/>
      <c r="O25" s="122"/>
      <c r="P25" s="63"/>
      <c r="Q25" s="7"/>
      <c r="R25" s="7"/>
      <c r="S25" s="187"/>
      <c r="T25" s="197"/>
      <c r="U25" s="122"/>
      <c r="V25" s="63"/>
      <c r="W25" s="7"/>
      <c r="X25" s="7"/>
      <c r="Y25" s="78"/>
      <c r="Z25" s="7"/>
      <c r="AA25" s="7"/>
      <c r="AB25" s="10"/>
      <c r="AC25" s="7"/>
      <c r="AD25" s="7"/>
      <c r="AE25" s="78"/>
      <c r="AF25" s="7"/>
      <c r="AG25" s="11"/>
      <c r="AH25" s="78"/>
      <c r="AI25" s="7"/>
      <c r="AJ25" s="7"/>
      <c r="AK25" s="78"/>
      <c r="AL25" s="7"/>
      <c r="AM25" s="7"/>
      <c r="AN25" s="78"/>
      <c r="AO25" s="7"/>
      <c r="AP25" s="7"/>
      <c r="AQ25" s="78"/>
      <c r="AR25" s="7"/>
      <c r="AS25" s="7"/>
      <c r="AT25" s="78"/>
      <c r="AU25" s="7"/>
      <c r="AV25" s="7"/>
      <c r="AW25" s="78"/>
      <c r="AX25" s="7"/>
      <c r="AY25" s="7"/>
      <c r="AZ25" s="78"/>
      <c r="BA25" s="7"/>
      <c r="BB25" s="7"/>
      <c r="BC25" s="78"/>
      <c r="BD25" s="7"/>
      <c r="BE25" s="7"/>
      <c r="BF25" s="78"/>
      <c r="BG25" s="7"/>
      <c r="BH25" s="7"/>
      <c r="BI25" s="78"/>
      <c r="BJ25" s="7"/>
      <c r="BK25" s="7"/>
      <c r="BL25" s="78"/>
      <c r="BM25" s="7"/>
      <c r="BN25" s="7"/>
      <c r="BO25" s="78"/>
      <c r="BP25" s="119"/>
      <c r="BQ25" s="120"/>
      <c r="BR25" s="121"/>
      <c r="BS25" s="78"/>
      <c r="BU25" s="171"/>
      <c r="BV25" s="199"/>
    </row>
    <row r="26" spans="1:76" ht="28" x14ac:dyDescent="0.45">
      <c r="A26" s="123" t="s">
        <v>38</v>
      </c>
      <c r="B26" s="124"/>
      <c r="C26" s="122"/>
      <c r="D26" s="64"/>
      <c r="E26" s="124"/>
      <c r="F26" s="124"/>
      <c r="G26" s="184"/>
      <c r="H26" s="179"/>
      <c r="I26" s="122"/>
      <c r="J26" s="64"/>
      <c r="K26" s="124"/>
      <c r="L26" s="124"/>
      <c r="M26" s="124"/>
      <c r="N26" s="124"/>
      <c r="O26" s="122"/>
      <c r="P26" s="64"/>
      <c r="Q26" s="124"/>
      <c r="R26" s="124"/>
      <c r="S26" s="188"/>
      <c r="T26" s="198"/>
      <c r="U26" s="122"/>
      <c r="V26" s="64"/>
      <c r="W26" s="124"/>
      <c r="X26" s="7"/>
      <c r="Y26" s="78"/>
      <c r="Z26" s="7"/>
      <c r="AA26" s="7"/>
      <c r="AB26" s="10"/>
      <c r="AC26" s="7"/>
      <c r="AD26" s="12"/>
      <c r="AE26" s="78"/>
      <c r="AF26" s="7"/>
      <c r="AG26" s="11"/>
      <c r="AH26" s="78"/>
      <c r="AI26" s="7"/>
      <c r="AJ26" s="7"/>
      <c r="AK26" s="78"/>
      <c r="AL26" s="7"/>
      <c r="AM26" s="11"/>
      <c r="AN26" s="78"/>
      <c r="AO26" s="7"/>
      <c r="AP26" s="7"/>
      <c r="AQ26" s="78"/>
      <c r="AR26" s="7"/>
      <c r="AS26" s="7"/>
      <c r="AT26" s="78"/>
      <c r="AU26" s="7"/>
      <c r="AV26" s="7"/>
      <c r="AW26" s="78"/>
      <c r="AX26" s="7"/>
      <c r="AY26" s="7"/>
      <c r="AZ26" s="78"/>
      <c r="BA26" s="7"/>
      <c r="BB26" s="7"/>
      <c r="BC26" s="78"/>
      <c r="BD26" s="7"/>
      <c r="BE26" s="7"/>
      <c r="BF26" s="78"/>
      <c r="BG26" s="7"/>
      <c r="BH26" s="7"/>
      <c r="BI26" s="78"/>
      <c r="BJ26" s="7"/>
      <c r="BK26" s="7"/>
      <c r="BL26" s="78"/>
      <c r="BM26" s="7"/>
      <c r="BN26" s="7"/>
      <c r="BO26" s="78"/>
      <c r="BP26" s="119"/>
      <c r="BQ26" s="120"/>
      <c r="BR26" s="121"/>
      <c r="BS26" s="78"/>
      <c r="BU26" s="171"/>
      <c r="BV26" s="199"/>
    </row>
    <row r="27" spans="1:76" ht="55" x14ac:dyDescent="0.45">
      <c r="A27" s="71" t="s">
        <v>62</v>
      </c>
      <c r="B27" s="11" t="s">
        <v>35</v>
      </c>
      <c r="C27" s="122">
        <v>1000000</v>
      </c>
      <c r="D27" s="63">
        <v>1</v>
      </c>
      <c r="E27" s="7">
        <v>1</v>
      </c>
      <c r="F27" s="7">
        <v>9</v>
      </c>
      <c r="G27" s="120">
        <f>+C27*D27*E27*F27</f>
        <v>9000000</v>
      </c>
      <c r="H27" s="77" t="s">
        <v>35</v>
      </c>
      <c r="I27" s="122">
        <v>1000000</v>
      </c>
      <c r="J27" s="63">
        <v>1</v>
      </c>
      <c r="K27" s="7">
        <v>0</v>
      </c>
      <c r="L27" s="7">
        <v>0</v>
      </c>
      <c r="M27" s="120">
        <f>+I27*J27*K27*L27</f>
        <v>0</v>
      </c>
      <c r="N27" s="77" t="s">
        <v>35</v>
      </c>
      <c r="O27" s="122">
        <v>1000000</v>
      </c>
      <c r="P27" s="63">
        <v>1</v>
      </c>
      <c r="Q27" s="7">
        <v>0</v>
      </c>
      <c r="R27" s="7">
        <v>0</v>
      </c>
      <c r="S27" s="189">
        <f>+O27*P27*Q27*R27</f>
        <v>0</v>
      </c>
      <c r="T27" s="125" t="s">
        <v>35</v>
      </c>
      <c r="U27" s="122">
        <v>1000000</v>
      </c>
      <c r="V27" s="63">
        <v>1</v>
      </c>
      <c r="W27" s="7">
        <f>+E27+K27+Q27</f>
        <v>1</v>
      </c>
      <c r="X27" s="7">
        <f>+F27+L27+R27</f>
        <v>9</v>
      </c>
      <c r="Y27" s="78">
        <f>+G27</f>
        <v>9000000</v>
      </c>
      <c r="Z27" s="167">
        <f>+E27</f>
        <v>1</v>
      </c>
      <c r="AA27" s="167">
        <f>+ROUND(16/30,4)</f>
        <v>0.5333</v>
      </c>
      <c r="AB27" s="168">
        <f t="shared" ref="AB27" si="24">ROUND(U27*V27*Z27*AA27,0)</f>
        <v>533300</v>
      </c>
      <c r="AC27" s="167">
        <v>1</v>
      </c>
      <c r="AD27" s="167">
        <v>1</v>
      </c>
      <c r="AE27" s="168">
        <f>+ROUND(U27*V27*AC27*AD27,0)</f>
        <v>1000000</v>
      </c>
      <c r="AF27" s="167">
        <v>1</v>
      </c>
      <c r="AG27" s="167">
        <v>1</v>
      </c>
      <c r="AH27" s="168">
        <f>+ROUND(AG27*AF27*V27*U27,0)</f>
        <v>1000000</v>
      </c>
      <c r="AI27" s="167">
        <v>1</v>
      </c>
      <c r="AJ27" s="167">
        <f>+ROUND(0.233333333333333,4)</f>
        <v>0.23330000000000001</v>
      </c>
      <c r="AK27" s="168">
        <f>+ROUND(AI27*AJ27*U27*V27,0)</f>
        <v>233300</v>
      </c>
      <c r="AL27" s="167">
        <v>1</v>
      </c>
      <c r="AM27" s="167">
        <f>+ROUND(23/30,4)</f>
        <v>0.76670000000000005</v>
      </c>
      <c r="AN27" s="168">
        <f>+ROUND(AL27*AM27*U27*V27,0)</f>
        <v>766700</v>
      </c>
      <c r="AO27" s="167">
        <v>1</v>
      </c>
      <c r="AP27" s="167">
        <v>1</v>
      </c>
      <c r="AQ27" s="168">
        <f>+ROUND(AO27*AP27*U27*V27,0)</f>
        <v>1000000</v>
      </c>
      <c r="AR27" s="167">
        <v>1</v>
      </c>
      <c r="AS27" s="167">
        <v>1</v>
      </c>
      <c r="AT27" s="168">
        <f>+ROUND(AR27*AS27*U27*V27,0)</f>
        <v>1000000</v>
      </c>
      <c r="AU27" s="7">
        <v>1</v>
      </c>
      <c r="AV27" s="7">
        <v>0.17</v>
      </c>
      <c r="AW27" s="78">
        <f>+ROUND(AU27*AV27*$U27*$V27,0)</f>
        <v>170000</v>
      </c>
      <c r="AX27" s="7">
        <v>1</v>
      </c>
      <c r="AY27" s="7">
        <v>1</v>
      </c>
      <c r="AZ27" s="78">
        <f t="shared" ref="AZ27" si="25">+ROUND(AX27*AY27*$U27*$V27,0)</f>
        <v>1000000</v>
      </c>
      <c r="BA27" s="7">
        <v>1</v>
      </c>
      <c r="BB27" s="7">
        <v>1</v>
      </c>
      <c r="BC27" s="78">
        <f t="shared" ref="BC27" si="26">+ROUND(BA27*BB27*$U27*$V27,0)</f>
        <v>1000000</v>
      </c>
      <c r="BD27" s="7">
        <v>1</v>
      </c>
      <c r="BE27" s="7">
        <v>1</v>
      </c>
      <c r="BF27" s="78">
        <f t="shared" ref="BF27" si="27">+ROUND(BD27*BE27*$U27*$V27,0)</f>
        <v>1000000</v>
      </c>
      <c r="BG27" s="7">
        <v>1</v>
      </c>
      <c r="BH27" s="7">
        <v>0.43</v>
      </c>
      <c r="BI27" s="78">
        <f t="shared" ref="BI27" si="28">+ROUND(BG27*BH27*$U27*$V27,0)</f>
        <v>430000</v>
      </c>
      <c r="BJ27" s="7">
        <v>0</v>
      </c>
      <c r="BK27" s="7">
        <v>0</v>
      </c>
      <c r="BL27" s="78">
        <f t="shared" ref="BL27" si="29">+ROUND(BJ27*BK27*$U27*$V27,0)</f>
        <v>0</v>
      </c>
      <c r="BM27" s="7">
        <v>0</v>
      </c>
      <c r="BN27" s="7">
        <v>0</v>
      </c>
      <c r="BO27" s="78">
        <f t="shared" ref="BO27" si="30">+ROUND(BM27*BN27*$U27*$V27,0)</f>
        <v>0</v>
      </c>
      <c r="BP27" s="119">
        <f>+Z27*AA27+AC27*AD27+AF27*AG27+AI27*AJ27+AL27*AM27+AO27*AP27++AR27*AS27+AU27*AV27+AX27*AY27+BA27*BB27+BD27*BE27+BG27*BH27+BJ27*BK27+BM27*BN27</f>
        <v>9.1333000000000002</v>
      </c>
      <c r="BQ27" s="120">
        <f>+AB27+AE27+AH27+AK27+AN27+AQ27+AT27+AW27+AZ27+BC27+BF27+BI27+BL27+BO27</f>
        <v>9133300</v>
      </c>
      <c r="BR27" s="121">
        <f>+W27*X27-BP27</f>
        <v>-0.1333000000000002</v>
      </c>
      <c r="BS27" s="78">
        <f>+Y27-BQ27</f>
        <v>-133300</v>
      </c>
      <c r="BU27" s="171"/>
      <c r="BV27" s="199"/>
    </row>
    <row r="28" spans="1:76" ht="28.5" customHeight="1" x14ac:dyDescent="0.45">
      <c r="A28" s="111" t="s">
        <v>39</v>
      </c>
      <c r="B28" s="11"/>
      <c r="C28" s="8"/>
      <c r="D28" s="7"/>
      <c r="E28" s="7"/>
      <c r="F28" s="7"/>
      <c r="G28" s="120"/>
      <c r="H28" s="180"/>
      <c r="I28" s="11"/>
      <c r="J28" s="7"/>
      <c r="K28" s="7"/>
      <c r="L28" s="7"/>
      <c r="M28" s="120"/>
      <c r="N28" s="126"/>
      <c r="O28" s="11"/>
      <c r="P28" s="7"/>
      <c r="Q28" s="7"/>
      <c r="R28" s="7"/>
      <c r="S28" s="189"/>
      <c r="T28" s="125"/>
      <c r="U28" s="122"/>
      <c r="V28" s="7"/>
      <c r="W28" s="7"/>
      <c r="X28" s="7"/>
      <c r="Y28" s="120"/>
      <c r="Z28" s="7"/>
      <c r="AA28" s="7"/>
      <c r="AB28" s="78"/>
      <c r="AC28" s="7"/>
      <c r="AD28" s="12"/>
      <c r="AE28" s="78"/>
      <c r="AF28" s="7"/>
      <c r="AG28" s="11"/>
      <c r="AH28" s="78"/>
      <c r="AI28" s="7"/>
      <c r="AJ28" s="7"/>
      <c r="AK28" s="78"/>
      <c r="AL28" s="7"/>
      <c r="AM28" s="7"/>
      <c r="AN28" s="78"/>
      <c r="AO28" s="7"/>
      <c r="AP28" s="7"/>
      <c r="AQ28" s="78"/>
      <c r="AR28" s="7"/>
      <c r="AS28" s="7"/>
      <c r="AT28" s="78"/>
      <c r="AU28" s="7"/>
      <c r="AV28" s="7"/>
      <c r="AW28" s="78"/>
      <c r="AX28" s="7"/>
      <c r="AY28" s="7"/>
      <c r="AZ28" s="78"/>
      <c r="BA28" s="7"/>
      <c r="BB28" s="7"/>
      <c r="BC28" s="78"/>
      <c r="BD28" s="7"/>
      <c r="BE28" s="7"/>
      <c r="BF28" s="78"/>
      <c r="BG28" s="7"/>
      <c r="BH28" s="7"/>
      <c r="BI28" s="78"/>
      <c r="BJ28" s="7"/>
      <c r="BK28" s="7"/>
      <c r="BL28" s="78"/>
      <c r="BM28" s="7"/>
      <c r="BN28" s="7"/>
      <c r="BO28" s="78"/>
      <c r="BP28" s="119"/>
      <c r="BQ28" s="120"/>
      <c r="BR28" s="121"/>
      <c r="BS28" s="78"/>
      <c r="BU28" s="171"/>
      <c r="BV28" s="199"/>
    </row>
    <row r="29" spans="1:76" ht="39.75" customHeight="1" x14ac:dyDescent="0.45">
      <c r="A29" s="253" t="s">
        <v>41</v>
      </c>
      <c r="B29" s="254"/>
      <c r="C29" s="254"/>
      <c r="D29" s="254"/>
      <c r="E29" s="254"/>
      <c r="F29" s="254"/>
      <c r="G29" s="81">
        <f>+SUM(G15:G27)</f>
        <v>446050000</v>
      </c>
      <c r="H29" s="181"/>
      <c r="I29" s="79"/>
      <c r="J29" s="79"/>
      <c r="K29" s="79"/>
      <c r="L29" s="79"/>
      <c r="M29" s="81">
        <f>+SUM(M15:M27)</f>
        <v>0</v>
      </c>
      <c r="N29" s="127"/>
      <c r="O29" s="79"/>
      <c r="P29" s="79"/>
      <c r="Q29" s="79"/>
      <c r="R29" s="79"/>
      <c r="S29" s="190">
        <f>+SUM(S15:S27)</f>
        <v>0</v>
      </c>
      <c r="T29" s="127"/>
      <c r="U29" s="8"/>
      <c r="V29" s="7"/>
      <c r="W29" s="79"/>
      <c r="X29" s="9"/>
      <c r="Y29" s="81">
        <f>+SUM(Y15:Y27)</f>
        <v>446050000</v>
      </c>
      <c r="Z29" s="79"/>
      <c r="AA29" s="80"/>
      <c r="AB29" s="81">
        <f>+SUM(AB15:AB27)</f>
        <v>11339495</v>
      </c>
      <c r="AC29" s="79"/>
      <c r="AD29" s="80"/>
      <c r="AE29" s="81">
        <f>+SUM(AE15:AE27)</f>
        <v>22450000</v>
      </c>
      <c r="AF29" s="79"/>
      <c r="AG29" s="80"/>
      <c r="AH29" s="81">
        <f>+SUM(AH15:AH27)</f>
        <v>22450000</v>
      </c>
      <c r="AI29" s="79"/>
      <c r="AJ29" s="80"/>
      <c r="AK29" s="81">
        <f>+SUM(AK15:AK27)</f>
        <v>5237585</v>
      </c>
      <c r="AL29" s="129"/>
      <c r="AM29" s="80"/>
      <c r="AN29" s="81">
        <f>+SUM(AN15:AN27)</f>
        <v>7287155</v>
      </c>
      <c r="AO29" s="79"/>
      <c r="AP29" s="80"/>
      <c r="AQ29" s="81">
        <f>+SUM(AQ15:AQ27)</f>
        <v>18550000</v>
      </c>
      <c r="AR29" s="79"/>
      <c r="AS29" s="80"/>
      <c r="AT29" s="81">
        <f>+SUM(AT15:AT27)</f>
        <v>19850000</v>
      </c>
      <c r="AU29" s="79"/>
      <c r="AV29" s="80"/>
      <c r="AW29" s="81">
        <f t="shared" ref="AW29" si="31">+SUM(AW15:AW27)</f>
        <v>3797000</v>
      </c>
      <c r="AX29" s="79"/>
      <c r="AY29" s="80"/>
      <c r="AZ29" s="81">
        <f t="shared" ref="AZ29" si="32">+SUM(AZ15:AZ27)</f>
        <v>15000000</v>
      </c>
      <c r="BA29" s="79"/>
      <c r="BB29" s="80"/>
      <c r="BC29" s="81">
        <f t="shared" ref="BC29" si="33">+SUM(BC15:BC27)</f>
        <v>14916667</v>
      </c>
      <c r="BD29" s="79"/>
      <c r="BE29" s="80"/>
      <c r="BF29" s="81">
        <f t="shared" ref="BF29" si="34">+SUM(BF15:BF27)</f>
        <v>22063333</v>
      </c>
      <c r="BG29" s="79"/>
      <c r="BH29" s="80"/>
      <c r="BI29" s="81">
        <f t="shared" ref="BI29" si="35">+SUM(BI15:BI27)</f>
        <v>10605000</v>
      </c>
      <c r="BJ29" s="79"/>
      <c r="BK29" s="80"/>
      <c r="BL29" s="81">
        <f t="shared" ref="BL29" si="36">+SUM(BL15:BL27)</f>
        <v>0</v>
      </c>
      <c r="BM29" s="79"/>
      <c r="BN29" s="80"/>
      <c r="BO29" s="81">
        <f t="shared" ref="BO29" si="37">+SUM(BO15:BO27)</f>
        <v>0</v>
      </c>
      <c r="BP29" s="119"/>
      <c r="BQ29" s="81">
        <f>+AB29+AE29+AH29+AK29+AN29+AQ29+AT29+AW29+AZ29+BC29+BF29+BI29+BL29+BO29</f>
        <v>173546235</v>
      </c>
      <c r="BR29" s="121"/>
      <c r="BS29" s="81">
        <f>+Y29-BQ29</f>
        <v>272503765</v>
      </c>
      <c r="BU29" s="171"/>
      <c r="BV29" s="199"/>
    </row>
    <row r="30" spans="1:76" ht="39.75" customHeight="1" x14ac:dyDescent="0.45">
      <c r="A30" s="253" t="s">
        <v>42</v>
      </c>
      <c r="B30" s="254"/>
      <c r="C30" s="254"/>
      <c r="D30" s="254"/>
      <c r="E30" s="254"/>
      <c r="F30" s="254"/>
      <c r="G30" s="14">
        <v>2.1</v>
      </c>
      <c r="H30" s="182"/>
      <c r="I30" s="16"/>
      <c r="J30" s="16"/>
      <c r="K30" s="16"/>
      <c r="L30" s="16"/>
      <c r="M30" s="14">
        <v>2.1</v>
      </c>
      <c r="N30" s="15"/>
      <c r="O30" s="16"/>
      <c r="P30" s="16"/>
      <c r="Q30" s="16"/>
      <c r="R30" s="16"/>
      <c r="S30" s="191">
        <v>2.1</v>
      </c>
      <c r="T30" s="15"/>
      <c r="U30" s="17"/>
      <c r="V30" s="18"/>
      <c r="W30" s="16"/>
      <c r="X30" s="9"/>
      <c r="Y30" s="14">
        <f>+G30</f>
        <v>2.1</v>
      </c>
      <c r="Z30" s="19"/>
      <c r="AA30" s="80"/>
      <c r="AB30" s="14">
        <f>+Y30</f>
        <v>2.1</v>
      </c>
      <c r="AC30" s="19"/>
      <c r="AD30" s="80"/>
      <c r="AE30" s="14">
        <f>+AB30</f>
        <v>2.1</v>
      </c>
      <c r="AF30" s="19"/>
      <c r="AG30" s="80"/>
      <c r="AH30" s="14">
        <f>+AE30</f>
        <v>2.1</v>
      </c>
      <c r="AI30" s="16"/>
      <c r="AJ30" s="80"/>
      <c r="AK30" s="14">
        <f>+AH30</f>
        <v>2.1</v>
      </c>
      <c r="AL30" s="20"/>
      <c r="AM30" s="80"/>
      <c r="AN30" s="14">
        <f>+AK30</f>
        <v>2.1</v>
      </c>
      <c r="AO30" s="19"/>
      <c r="AP30" s="80"/>
      <c r="AQ30" s="14">
        <f>+AN30</f>
        <v>2.1</v>
      </c>
      <c r="AR30" s="19"/>
      <c r="AS30" s="80"/>
      <c r="AT30" s="14">
        <f>+AQ30</f>
        <v>2.1</v>
      </c>
      <c r="AU30" s="19"/>
      <c r="AV30" s="80"/>
      <c r="AW30" s="14">
        <f t="shared" ref="AW30" si="38">+AT30</f>
        <v>2.1</v>
      </c>
      <c r="AX30" s="19"/>
      <c r="AY30" s="80"/>
      <c r="AZ30" s="14">
        <f>+AW30</f>
        <v>2.1</v>
      </c>
      <c r="BA30" s="19"/>
      <c r="BB30" s="80"/>
      <c r="BC30" s="14">
        <f t="shared" ref="BC30" si="39">+AZ30</f>
        <v>2.1</v>
      </c>
      <c r="BD30" s="19"/>
      <c r="BE30" s="80"/>
      <c r="BF30" s="14">
        <f t="shared" ref="BF30" si="40">+BC30</f>
        <v>2.1</v>
      </c>
      <c r="BG30" s="19"/>
      <c r="BH30" s="80"/>
      <c r="BI30" s="14">
        <f t="shared" ref="BI30" si="41">+BF30</f>
        <v>2.1</v>
      </c>
      <c r="BJ30" s="19"/>
      <c r="BK30" s="80"/>
      <c r="BL30" s="14">
        <f t="shared" ref="BL30" si="42">+BI30</f>
        <v>2.1</v>
      </c>
      <c r="BM30" s="19"/>
      <c r="BN30" s="80"/>
      <c r="BO30" s="14">
        <f t="shared" ref="BO30" si="43">+BL30</f>
        <v>2.1</v>
      </c>
      <c r="BP30" s="119"/>
      <c r="BQ30" s="14">
        <f>AB30</f>
        <v>2.1</v>
      </c>
      <c r="BR30" s="130"/>
      <c r="BS30" s="14">
        <f>BQ30</f>
        <v>2.1</v>
      </c>
      <c r="BU30" s="171"/>
      <c r="BV30" s="199"/>
      <c r="BX30" s="21"/>
    </row>
    <row r="31" spans="1:76" ht="39.75" customHeight="1" x14ac:dyDescent="0.45">
      <c r="A31" s="253" t="s">
        <v>43</v>
      </c>
      <c r="B31" s="254"/>
      <c r="C31" s="254"/>
      <c r="D31" s="254"/>
      <c r="E31" s="254"/>
      <c r="F31" s="254"/>
      <c r="G31" s="81">
        <f>+ROUND(G29*G30,0)</f>
        <v>936705000</v>
      </c>
      <c r="H31" s="183"/>
      <c r="I31" s="24"/>
      <c r="J31" s="24"/>
      <c r="K31" s="24"/>
      <c r="L31" s="24"/>
      <c r="M31" s="81">
        <f>+ROUND(M29*M30,0)</f>
        <v>0</v>
      </c>
      <c r="N31" s="23"/>
      <c r="O31" s="24"/>
      <c r="P31" s="24"/>
      <c r="Q31" s="24"/>
      <c r="R31" s="24"/>
      <c r="S31" s="81">
        <f>+ROUND(S29*S30,0)</f>
        <v>0</v>
      </c>
      <c r="T31" s="23"/>
      <c r="U31" s="8"/>
      <c r="V31" s="7"/>
      <c r="W31" s="24"/>
      <c r="X31" s="9"/>
      <c r="Y31" s="81">
        <f>+ROUND(Y29*Y30,0)</f>
        <v>936705000</v>
      </c>
      <c r="Z31" s="24"/>
      <c r="AA31" s="25"/>
      <c r="AB31" s="81">
        <f>+ROUND(AB29*AB30,0)</f>
        <v>23812940</v>
      </c>
      <c r="AC31" s="24"/>
      <c r="AD31" s="25"/>
      <c r="AE31" s="81">
        <f>+ROUND(AE29*AE30,0)</f>
        <v>47145000</v>
      </c>
      <c r="AF31" s="24"/>
      <c r="AG31" s="25"/>
      <c r="AH31" s="81">
        <f>+ROUND(AH29*AH30,0)</f>
        <v>47145000</v>
      </c>
      <c r="AI31" s="24"/>
      <c r="AJ31" s="25"/>
      <c r="AK31" s="81">
        <f>+ROUND(AK29*AK30,0)</f>
        <v>10998929</v>
      </c>
      <c r="AL31" s="26"/>
      <c r="AM31" s="25"/>
      <c r="AN31" s="81">
        <f>+ROUND(AN29*AN30,0)</f>
        <v>15303026</v>
      </c>
      <c r="AO31" s="24"/>
      <c r="AP31" s="25"/>
      <c r="AQ31" s="81">
        <f>+ROUND(AQ29*AQ30,0)</f>
        <v>38955000</v>
      </c>
      <c r="AR31" s="24"/>
      <c r="AS31" s="25"/>
      <c r="AT31" s="81">
        <f>+ROUND(AT29*AT30,0)</f>
        <v>41685000</v>
      </c>
      <c r="AU31" s="24"/>
      <c r="AV31" s="25"/>
      <c r="AW31" s="81">
        <f t="shared" ref="AW31" si="44">+ROUND(AW29*AW30,0)</f>
        <v>7973700</v>
      </c>
      <c r="AX31" s="24"/>
      <c r="AY31" s="25"/>
      <c r="AZ31" s="81">
        <f t="shared" ref="AZ31" si="45">+ROUND(AZ29*AZ30,0)</f>
        <v>31500000</v>
      </c>
      <c r="BA31" s="24"/>
      <c r="BB31" s="25"/>
      <c r="BC31" s="81">
        <f t="shared" ref="BC31" si="46">+ROUND(BC29*BC30,0)</f>
        <v>31325001</v>
      </c>
      <c r="BD31" s="24"/>
      <c r="BE31" s="25"/>
      <c r="BF31" s="81">
        <f t="shared" ref="BF31" si="47">+ROUND(BF29*BF30,0)</f>
        <v>46332999</v>
      </c>
      <c r="BG31" s="24"/>
      <c r="BH31" s="25"/>
      <c r="BI31" s="81">
        <f t="shared" ref="BI31" si="48">+ROUND(BI29*BI30,0)</f>
        <v>22270500</v>
      </c>
      <c r="BJ31" s="24"/>
      <c r="BK31" s="25"/>
      <c r="BL31" s="81">
        <f t="shared" ref="BL31" si="49">+ROUND(BL29*BL30,0)</f>
        <v>0</v>
      </c>
      <c r="BM31" s="24"/>
      <c r="BN31" s="25"/>
      <c r="BO31" s="81">
        <f t="shared" ref="BO31" si="50">+ROUND(BO29*BO30,0)</f>
        <v>0</v>
      </c>
      <c r="BP31" s="119"/>
      <c r="BQ31" s="22">
        <f>+AB31+AE31+AH31+AK31+AN31+AQ31+AT31+AW31+AZ31+BC31+BF31+BI31+BL31+BO31</f>
        <v>364447095</v>
      </c>
      <c r="BR31" s="121"/>
      <c r="BS31" s="22">
        <f>+Y31-BQ31</f>
        <v>572257905</v>
      </c>
      <c r="BU31" s="171"/>
      <c r="BV31" s="199"/>
      <c r="BX31" s="172"/>
    </row>
    <row r="32" spans="1:76" ht="342.75" customHeight="1" x14ac:dyDescent="0.45">
      <c r="A32" s="131" t="s">
        <v>40</v>
      </c>
      <c r="B32" s="11" t="s">
        <v>49</v>
      </c>
      <c r="C32" s="8"/>
      <c r="D32" s="7"/>
      <c r="E32" s="7"/>
      <c r="F32" s="7"/>
      <c r="G32" s="120">
        <f>+'[1]ACTA 1'!$H$25</f>
        <v>4670000</v>
      </c>
      <c r="H32" s="180"/>
      <c r="I32" s="11"/>
      <c r="J32" s="7"/>
      <c r="K32" s="7"/>
      <c r="L32" s="11"/>
      <c r="M32" s="120">
        <v>0</v>
      </c>
      <c r="N32" s="126"/>
      <c r="O32" s="11"/>
      <c r="P32" s="7"/>
      <c r="Q32" s="7"/>
      <c r="R32" s="11"/>
      <c r="S32" s="189">
        <v>0</v>
      </c>
      <c r="T32" s="125"/>
      <c r="U32" s="8"/>
      <c r="V32" s="7"/>
      <c r="W32" s="7"/>
      <c r="X32" s="7"/>
      <c r="Y32" s="120">
        <f>+G32</f>
        <v>4670000</v>
      </c>
      <c r="Z32" s="7"/>
      <c r="AA32" s="7"/>
      <c r="AB32" s="78">
        <v>0</v>
      </c>
      <c r="AC32" s="7"/>
      <c r="AD32" s="12"/>
      <c r="AE32" s="78"/>
      <c r="AF32" s="7"/>
      <c r="AG32" s="11"/>
      <c r="AH32" s="78">
        <v>0</v>
      </c>
      <c r="AI32" s="7"/>
      <c r="AJ32" s="7"/>
      <c r="AK32" s="78">
        <v>0</v>
      </c>
      <c r="AL32" s="7"/>
      <c r="AM32" s="7"/>
      <c r="AN32" s="78">
        <v>0</v>
      </c>
      <c r="AO32" s="7"/>
      <c r="AP32" s="7"/>
      <c r="AQ32" s="78">
        <v>0</v>
      </c>
      <c r="AR32" s="7"/>
      <c r="AS32" s="7"/>
      <c r="AT32" s="78">
        <v>0</v>
      </c>
      <c r="AU32" s="7"/>
      <c r="AV32" s="7"/>
      <c r="AW32" s="78">
        <v>0</v>
      </c>
      <c r="AX32" s="7"/>
      <c r="AY32" s="7"/>
      <c r="AZ32" s="78">
        <v>0</v>
      </c>
      <c r="BA32" s="7"/>
      <c r="BB32" s="7"/>
      <c r="BC32" s="78">
        <v>0</v>
      </c>
      <c r="BD32" s="7"/>
      <c r="BE32" s="7"/>
      <c r="BF32" s="78">
        <v>0</v>
      </c>
      <c r="BG32" s="7"/>
      <c r="BH32" s="7"/>
      <c r="BI32" s="78">
        <v>0</v>
      </c>
      <c r="BJ32" s="7"/>
      <c r="BK32" s="7"/>
      <c r="BL32" s="78">
        <v>0</v>
      </c>
      <c r="BM32" s="7"/>
      <c r="BN32" s="7"/>
      <c r="BO32" s="78">
        <v>0</v>
      </c>
      <c r="BP32" s="119"/>
      <c r="BQ32" s="120">
        <f>+AB32+AE32+AH32+AK32+AN32+AQ32+AT32+AW32+AZ32+BC32+BF32+BI32+BL32+BO32</f>
        <v>0</v>
      </c>
      <c r="BR32" s="121">
        <f>+W32*X32-BP32</f>
        <v>0</v>
      </c>
      <c r="BS32" s="78">
        <f>+Y32-BQ32</f>
        <v>4670000</v>
      </c>
      <c r="BU32" s="171"/>
      <c r="BV32" s="199"/>
    </row>
    <row r="33" spans="1:77" ht="99" customHeight="1" x14ac:dyDescent="0.45">
      <c r="A33" s="131" t="str">
        <f>+'[1]ACTA 1'!$B$26</f>
        <v>Gastos de alojamiento, transporte y almentación, se reconocerán según su costo real y contra factura</v>
      </c>
      <c r="B33" s="11" t="s">
        <v>49</v>
      </c>
      <c r="C33" s="8"/>
      <c r="D33" s="7"/>
      <c r="E33" s="7"/>
      <c r="F33" s="7"/>
      <c r="G33" s="120">
        <v>27500000</v>
      </c>
      <c r="H33" s="180"/>
      <c r="I33" s="11"/>
      <c r="J33" s="7"/>
      <c r="K33" s="7"/>
      <c r="L33" s="11"/>
      <c r="M33" s="120">
        <v>0</v>
      </c>
      <c r="N33" s="126"/>
      <c r="O33" s="11"/>
      <c r="P33" s="7"/>
      <c r="Q33" s="7"/>
      <c r="R33" s="11"/>
      <c r="S33" s="189">
        <v>0</v>
      </c>
      <c r="T33" s="125"/>
      <c r="U33" s="8"/>
      <c r="V33" s="7"/>
      <c r="W33" s="7"/>
      <c r="X33" s="7"/>
      <c r="Y33" s="120">
        <f>+G33</f>
        <v>27500000</v>
      </c>
      <c r="Z33" s="7"/>
      <c r="AA33" s="7"/>
      <c r="AB33" s="78">
        <v>0</v>
      </c>
      <c r="AC33" s="7"/>
      <c r="AD33" s="7"/>
      <c r="AE33" s="78">
        <v>2300000</v>
      </c>
      <c r="AF33" s="7"/>
      <c r="AG33" s="11"/>
      <c r="AH33" s="78">
        <v>500000</v>
      </c>
      <c r="AI33" s="7"/>
      <c r="AJ33" s="7"/>
      <c r="AK33" s="78">
        <v>0</v>
      </c>
      <c r="AL33" s="7"/>
      <c r="AM33" s="7"/>
      <c r="AN33" s="78">
        <v>0</v>
      </c>
      <c r="AO33" s="7"/>
      <c r="AP33" s="7"/>
      <c r="AQ33" s="78">
        <v>500000</v>
      </c>
      <c r="AR33" s="7"/>
      <c r="AS33" s="7"/>
      <c r="AT33" s="78">
        <v>500000</v>
      </c>
      <c r="AU33" s="7"/>
      <c r="AV33" s="7"/>
      <c r="AW33" s="78">
        <v>200000</v>
      </c>
      <c r="AX33" s="7"/>
      <c r="AY33" s="7"/>
      <c r="AZ33" s="78">
        <v>1000000</v>
      </c>
      <c r="BA33" s="7"/>
      <c r="BB33" s="7">
        <v>1500000</v>
      </c>
      <c r="BC33" s="78">
        <f>+BB33</f>
        <v>1500000</v>
      </c>
      <c r="BD33" s="7">
        <v>1</v>
      </c>
      <c r="BE33" s="7">
        <v>1500000</v>
      </c>
      <c r="BF33" s="78">
        <f>+BE33*BD33</f>
        <v>1500000</v>
      </c>
      <c r="BG33" s="7"/>
      <c r="BH33" s="7"/>
      <c r="BI33" s="78">
        <v>2000000</v>
      </c>
      <c r="BJ33" s="7"/>
      <c r="BK33" s="7"/>
      <c r="BL33" s="78">
        <v>0</v>
      </c>
      <c r="BM33" s="7"/>
      <c r="BN33" s="7"/>
      <c r="BO33" s="78">
        <v>0</v>
      </c>
      <c r="BP33" s="119"/>
      <c r="BQ33" s="120">
        <f>+AB33+AE33+AH33+AK33+AN33+AQ33+AT33+AW33+AZ33+BC33+BF33+BI33+BL33+BO33</f>
        <v>10000000</v>
      </c>
      <c r="BR33" s="121">
        <f>+W33*X33-BP33</f>
        <v>0</v>
      </c>
      <c r="BS33" s="78">
        <f>+Y33-BQ33</f>
        <v>17500000</v>
      </c>
      <c r="BU33" s="171"/>
      <c r="BV33" s="199"/>
    </row>
    <row r="34" spans="1:77" ht="37.5" customHeight="1" thickBot="1" x14ac:dyDescent="0.5">
      <c r="A34" s="258" t="s">
        <v>44</v>
      </c>
      <c r="B34" s="259"/>
      <c r="C34" s="259"/>
      <c r="D34" s="259"/>
      <c r="E34" s="259"/>
      <c r="F34" s="259"/>
      <c r="G34" s="90">
        <f>SUM(G31:G33)</f>
        <v>968875000</v>
      </c>
      <c r="H34" s="148"/>
      <c r="I34" s="72"/>
      <c r="J34" s="72"/>
      <c r="K34" s="72"/>
      <c r="L34" s="72"/>
      <c r="M34" s="132">
        <f>SUM(M31:M33)</f>
        <v>0</v>
      </c>
      <c r="N34" s="133"/>
      <c r="O34" s="72"/>
      <c r="P34" s="72"/>
      <c r="Q34" s="72"/>
      <c r="R34" s="72"/>
      <c r="S34" s="192">
        <f>SUM(S31:S33)</f>
        <v>0</v>
      </c>
      <c r="T34" s="274"/>
      <c r="U34" s="275"/>
      <c r="V34" s="275"/>
      <c r="W34" s="275"/>
      <c r="X34" s="275"/>
      <c r="Y34" s="90">
        <f>SUM(Y31:Y33)</f>
        <v>968875000</v>
      </c>
      <c r="Z34" s="266"/>
      <c r="AA34" s="267"/>
      <c r="AB34" s="90">
        <f>SUM(AB31:AB33)</f>
        <v>23812940</v>
      </c>
      <c r="AC34" s="72"/>
      <c r="AD34" s="73"/>
      <c r="AE34" s="90">
        <f>SUM(AE31:AE33)</f>
        <v>49445000</v>
      </c>
      <c r="AF34" s="72"/>
      <c r="AG34" s="73"/>
      <c r="AH34" s="90">
        <f>SUM(AH31:AH33)</f>
        <v>47645000</v>
      </c>
      <c r="AI34" s="72"/>
      <c r="AJ34" s="73"/>
      <c r="AK34" s="90">
        <f>SUM(AK31:AK33)</f>
        <v>10998929</v>
      </c>
      <c r="AL34" s="74"/>
      <c r="AM34" s="73"/>
      <c r="AN34" s="90">
        <f>SUM(AN31:AN33)</f>
        <v>15303026</v>
      </c>
      <c r="AO34" s="75"/>
      <c r="AP34" s="73"/>
      <c r="AQ34" s="90">
        <f>SUM(AQ31:AQ33)</f>
        <v>39455000</v>
      </c>
      <c r="AR34" s="75"/>
      <c r="AS34" s="73"/>
      <c r="AT34" s="90">
        <f>SUM(AT31:AT33)</f>
        <v>42185000</v>
      </c>
      <c r="AU34" s="75"/>
      <c r="AV34" s="73"/>
      <c r="AW34" s="90">
        <f t="shared" ref="AW34" si="51">SUM(AW31:AW33)</f>
        <v>8173700</v>
      </c>
      <c r="AX34" s="75"/>
      <c r="AY34" s="73"/>
      <c r="AZ34" s="90">
        <f t="shared" ref="AZ34" si="52">SUM(AZ31:AZ33)</f>
        <v>32500000</v>
      </c>
      <c r="BA34" s="75"/>
      <c r="BB34" s="73"/>
      <c r="BC34" s="90">
        <f t="shared" ref="BC34" si="53">SUM(BC31:BC33)</f>
        <v>32825001</v>
      </c>
      <c r="BD34" s="75"/>
      <c r="BE34" s="73"/>
      <c r="BF34" s="90">
        <f t="shared" ref="BF34" si="54">SUM(BF31:BF33)</f>
        <v>47832999</v>
      </c>
      <c r="BG34" s="75"/>
      <c r="BH34" s="73"/>
      <c r="BI34" s="90">
        <f t="shared" ref="BI34" si="55">SUM(BI31:BI33)</f>
        <v>24270500</v>
      </c>
      <c r="BJ34" s="75"/>
      <c r="BK34" s="73"/>
      <c r="BL34" s="90">
        <f t="shared" ref="BL34" si="56">SUM(BL31:BL33)</f>
        <v>0</v>
      </c>
      <c r="BM34" s="75"/>
      <c r="BN34" s="73"/>
      <c r="BO34" s="90">
        <f t="shared" ref="BO34" si="57">SUM(BO31:BO33)</f>
        <v>0</v>
      </c>
      <c r="BP34" s="134"/>
      <c r="BQ34" s="132">
        <f>+AB34+AE34+AH34+AK34+AN34+AQ34+AT34+AW34+AZ34+BC34+BF34+BI34+BL34+BO34</f>
        <v>374447095</v>
      </c>
      <c r="BR34" s="135"/>
      <c r="BS34" s="76">
        <f>+Y34-BQ34</f>
        <v>594427905</v>
      </c>
      <c r="BU34" s="171"/>
      <c r="BV34" s="199"/>
      <c r="BX34" s="29"/>
      <c r="BY34" s="172"/>
    </row>
    <row r="35" spans="1:77" ht="15" customHeight="1" x14ac:dyDescent="0.45">
      <c r="A35" s="164"/>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6"/>
      <c r="BU35" s="171"/>
      <c r="BV35" s="199"/>
    </row>
    <row r="36" spans="1:77" ht="45" customHeight="1" x14ac:dyDescent="0.45">
      <c r="A36" s="153" t="s">
        <v>45</v>
      </c>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4"/>
      <c r="BR36" s="154"/>
      <c r="BS36" s="155"/>
      <c r="BU36" s="171"/>
      <c r="BV36" s="199"/>
    </row>
    <row r="37" spans="1:77" ht="45" customHeight="1" thickBot="1" x14ac:dyDescent="0.5">
      <c r="A37" s="153" t="s">
        <v>79</v>
      </c>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4"/>
      <c r="BR37" s="154"/>
      <c r="BS37" s="155"/>
      <c r="BU37" s="171"/>
      <c r="BV37" s="199"/>
    </row>
    <row r="38" spans="1:77" ht="68.150000000000006" customHeight="1" thickBot="1" x14ac:dyDescent="0.5">
      <c r="A38" s="92" t="s">
        <v>20</v>
      </c>
      <c r="B38" s="93" t="s">
        <v>21</v>
      </c>
      <c r="C38" s="94" t="s">
        <v>22</v>
      </c>
      <c r="D38" s="95" t="s">
        <v>23</v>
      </c>
      <c r="E38" s="93" t="s">
        <v>24</v>
      </c>
      <c r="F38" s="95" t="s">
        <v>25</v>
      </c>
      <c r="G38" s="96" t="s">
        <v>26</v>
      </c>
      <c r="H38" s="93" t="s">
        <v>21</v>
      </c>
      <c r="I38" s="94" t="s">
        <v>22</v>
      </c>
      <c r="J38" s="95" t="s">
        <v>23</v>
      </c>
      <c r="K38" s="93" t="s">
        <v>24</v>
      </c>
      <c r="L38" s="95" t="s">
        <v>25</v>
      </c>
      <c r="M38" s="96" t="s">
        <v>26</v>
      </c>
      <c r="N38" s="93" t="s">
        <v>21</v>
      </c>
      <c r="O38" s="94" t="s">
        <v>22</v>
      </c>
      <c r="P38" s="95" t="s">
        <v>23</v>
      </c>
      <c r="Q38" s="93" t="s">
        <v>24</v>
      </c>
      <c r="R38" s="95" t="s">
        <v>25</v>
      </c>
      <c r="S38" s="96" t="s">
        <v>26</v>
      </c>
      <c r="T38" s="93" t="s">
        <v>21</v>
      </c>
      <c r="U38" s="94" t="s">
        <v>22</v>
      </c>
      <c r="V38" s="95" t="s">
        <v>23</v>
      </c>
      <c r="W38" s="93" t="s">
        <v>24</v>
      </c>
      <c r="X38" s="95" t="s">
        <v>25</v>
      </c>
      <c r="Y38" s="96" t="s">
        <v>26</v>
      </c>
      <c r="Z38" s="93" t="s">
        <v>24</v>
      </c>
      <c r="AA38" s="95" t="s">
        <v>25</v>
      </c>
      <c r="AB38" s="96" t="s">
        <v>26</v>
      </c>
      <c r="AC38" s="93" t="s">
        <v>24</v>
      </c>
      <c r="AD38" s="95" t="s">
        <v>29</v>
      </c>
      <c r="AE38" s="96" t="s">
        <v>30</v>
      </c>
      <c r="AF38" s="93" t="s">
        <v>24</v>
      </c>
      <c r="AG38" s="95" t="s">
        <v>29</v>
      </c>
      <c r="AH38" s="96" t="s">
        <v>30</v>
      </c>
      <c r="AI38" s="93" t="s">
        <v>24</v>
      </c>
      <c r="AJ38" s="95" t="s">
        <v>29</v>
      </c>
      <c r="AK38" s="96" t="s">
        <v>30</v>
      </c>
      <c r="AL38" s="93" t="s">
        <v>24</v>
      </c>
      <c r="AM38" s="95" t="s">
        <v>29</v>
      </c>
      <c r="AN38" s="96" t="s">
        <v>30</v>
      </c>
      <c r="AO38" s="93" t="s">
        <v>24</v>
      </c>
      <c r="AP38" s="95" t="s">
        <v>29</v>
      </c>
      <c r="AQ38" s="96" t="s">
        <v>30</v>
      </c>
      <c r="AR38" s="93" t="s">
        <v>24</v>
      </c>
      <c r="AS38" s="95" t="s">
        <v>29</v>
      </c>
      <c r="AT38" s="96" t="s">
        <v>30</v>
      </c>
      <c r="AU38" s="93" t="s">
        <v>24</v>
      </c>
      <c r="AV38" s="95" t="s">
        <v>29</v>
      </c>
      <c r="AW38" s="96" t="s">
        <v>30</v>
      </c>
      <c r="AX38" s="93" t="s">
        <v>24</v>
      </c>
      <c r="AY38" s="95" t="s">
        <v>29</v>
      </c>
      <c r="AZ38" s="96" t="s">
        <v>30</v>
      </c>
      <c r="BA38" s="93" t="s">
        <v>24</v>
      </c>
      <c r="BB38" s="95" t="s">
        <v>29</v>
      </c>
      <c r="BC38" s="96" t="s">
        <v>30</v>
      </c>
      <c r="BD38" s="93" t="s">
        <v>24</v>
      </c>
      <c r="BE38" s="95" t="s">
        <v>29</v>
      </c>
      <c r="BF38" s="96" t="s">
        <v>30</v>
      </c>
      <c r="BG38" s="93" t="s">
        <v>24</v>
      </c>
      <c r="BH38" s="95" t="s">
        <v>29</v>
      </c>
      <c r="BI38" s="96" t="s">
        <v>30</v>
      </c>
      <c r="BJ38" s="93" t="s">
        <v>24</v>
      </c>
      <c r="BK38" s="95" t="s">
        <v>29</v>
      </c>
      <c r="BL38" s="96" t="s">
        <v>30</v>
      </c>
      <c r="BM38" s="93" t="s">
        <v>24</v>
      </c>
      <c r="BN38" s="95" t="s">
        <v>29</v>
      </c>
      <c r="BO38" s="96" t="s">
        <v>30</v>
      </c>
      <c r="BP38" s="101" t="s">
        <v>31</v>
      </c>
      <c r="BQ38" s="96" t="s">
        <v>26</v>
      </c>
      <c r="BR38" s="95" t="s">
        <v>31</v>
      </c>
      <c r="BS38" s="96" t="s">
        <v>26</v>
      </c>
      <c r="BU38" s="171"/>
      <c r="BV38" s="199"/>
    </row>
    <row r="39" spans="1:77" ht="175.5" customHeight="1" x14ac:dyDescent="0.45">
      <c r="A39" s="136" t="str">
        <f>+'[1]ACTA 1'!B30</f>
        <v>Vehículo No. 1 doble tracción, doble cabina, 2400 CC o superior (modelo 2015 o superior)  tarifa de alquiler tiempo completo, incluye combustible,  incluye conductor. Se debe garantizar permanencia de los vehículos durante toda la ejecución del proyecto.</v>
      </c>
      <c r="B39" s="82" t="str">
        <f>+'[1]ACTA 1'!C30</f>
        <v>Unidad</v>
      </c>
      <c r="C39" s="30">
        <v>5300000</v>
      </c>
      <c r="D39" s="63">
        <v>1</v>
      </c>
      <c r="E39" s="31">
        <f>+'[1]ACTA 1'!D30</f>
        <v>3</v>
      </c>
      <c r="F39" s="31">
        <v>8</v>
      </c>
      <c r="G39" s="32">
        <f>+F39*E39*D39*C39</f>
        <v>127200000</v>
      </c>
      <c r="H39" s="82" t="s">
        <v>46</v>
      </c>
      <c r="I39" s="30">
        <v>5300000</v>
      </c>
      <c r="J39" s="31">
        <v>1</v>
      </c>
      <c r="K39" s="31">
        <v>0</v>
      </c>
      <c r="L39" s="31">
        <v>0</v>
      </c>
      <c r="M39" s="32">
        <f>+L39*K39*J39*I39</f>
        <v>0</v>
      </c>
      <c r="N39" s="82" t="s">
        <v>46</v>
      </c>
      <c r="O39" s="30">
        <v>5300000</v>
      </c>
      <c r="P39" s="31">
        <v>1</v>
      </c>
      <c r="Q39" s="31">
        <v>0</v>
      </c>
      <c r="R39" s="31">
        <v>0</v>
      </c>
      <c r="S39" s="32">
        <f>+R39*Q39*P39*O39</f>
        <v>0</v>
      </c>
      <c r="T39" s="82" t="s">
        <v>46</v>
      </c>
      <c r="U39" s="30">
        <v>5300000</v>
      </c>
      <c r="V39" s="31">
        <v>1</v>
      </c>
      <c r="W39" s="7">
        <f t="shared" ref="W39:X47" si="58">+E39+K39+Q39</f>
        <v>3</v>
      </c>
      <c r="X39" s="7">
        <f t="shared" si="58"/>
        <v>8</v>
      </c>
      <c r="Y39" s="32">
        <f t="shared" ref="Y39:Y45" si="59">+G39</f>
        <v>127200000</v>
      </c>
      <c r="Z39" s="158">
        <v>0</v>
      </c>
      <c r="AA39" s="159">
        <v>0</v>
      </c>
      <c r="AB39" s="78">
        <f t="shared" ref="AB39:AB45" si="60">ROUND(U39*V39*Z39*AA39,0)</f>
        <v>0</v>
      </c>
      <c r="AC39" s="169">
        <v>0</v>
      </c>
      <c r="AD39" s="167">
        <v>0</v>
      </c>
      <c r="AE39" s="168">
        <f>+ROUND(AD39*AC39*V39*U39,0)</f>
        <v>0</v>
      </c>
      <c r="AF39" s="167">
        <v>1</v>
      </c>
      <c r="AG39" s="167">
        <v>0.2</v>
      </c>
      <c r="AH39" s="168">
        <f>+ROUND(AG39*AF39*V39*U39,0)</f>
        <v>1060000</v>
      </c>
      <c r="AI39" s="167">
        <v>0</v>
      </c>
      <c r="AJ39" s="167">
        <f>+ROUND(0.233333333333333,4)</f>
        <v>0.23330000000000001</v>
      </c>
      <c r="AK39" s="168">
        <f>+ROUND(AJ39*AI39*C39*D39,0)</f>
        <v>0</v>
      </c>
      <c r="AL39" s="167">
        <v>0</v>
      </c>
      <c r="AM39" s="167">
        <f>+ROUND(23/30,4)</f>
        <v>0.76670000000000005</v>
      </c>
      <c r="AN39" s="168">
        <f t="shared" ref="AN39:AN45" si="61">+ROUND(AL39*AM39*U39*V39,0)</f>
        <v>0</v>
      </c>
      <c r="AO39" s="167">
        <v>0</v>
      </c>
      <c r="AP39" s="167">
        <v>1</v>
      </c>
      <c r="AQ39" s="168">
        <f t="shared" ref="AQ39:AQ44" si="62">+ROUND(AO39*AP39*U39*V39,0)</f>
        <v>0</v>
      </c>
      <c r="AR39" s="167">
        <v>0</v>
      </c>
      <c r="AS39" s="167">
        <v>1</v>
      </c>
      <c r="AT39" s="168">
        <f t="shared" ref="AT39:AT45" si="63">+ROUND(AR39*AS39*U39*V39,0)</f>
        <v>0</v>
      </c>
      <c r="AU39" s="7">
        <v>0</v>
      </c>
      <c r="AV39" s="7">
        <v>0</v>
      </c>
      <c r="AW39" s="78">
        <f t="shared" ref="AW39:AW45" si="64">+ROUND(AU39*AV39*$U39*$V39,0)</f>
        <v>0</v>
      </c>
      <c r="AX39" s="7">
        <v>1</v>
      </c>
      <c r="AY39" s="7">
        <v>0.16666666666666666</v>
      </c>
      <c r="AZ39" s="78">
        <f t="shared" ref="AZ39:AZ45" si="65">+ROUND(AX39*AY39*$U39*$V39,0)</f>
        <v>883333</v>
      </c>
      <c r="BA39" s="7">
        <v>2</v>
      </c>
      <c r="BB39" s="7">
        <v>2</v>
      </c>
      <c r="BC39" s="78">
        <f t="shared" ref="BC39:BC45" si="66">+ROUND(BA39*BB39*$U39*$V39,0)</f>
        <v>21200000</v>
      </c>
      <c r="BD39" s="7">
        <v>2</v>
      </c>
      <c r="BE39" s="7">
        <v>2</v>
      </c>
      <c r="BF39" s="78">
        <f t="shared" ref="BF39:BF45" si="67">+ROUND(BD39*BE39*$U39*$V39,0)</f>
        <v>21200000</v>
      </c>
      <c r="BG39" s="7">
        <v>3</v>
      </c>
      <c r="BH39" s="7">
        <v>0.43</v>
      </c>
      <c r="BI39" s="78">
        <f t="shared" ref="BI39:BI45" si="68">+ROUND(BG39*BH39*$U39*$V39,0)</f>
        <v>6837000</v>
      </c>
      <c r="BJ39" s="7">
        <v>0</v>
      </c>
      <c r="BK39" s="7">
        <v>0</v>
      </c>
      <c r="BL39" s="78">
        <f t="shared" ref="BL39:BL45" si="69">+ROUND(BJ39*BK39*$U39*$V39,0)</f>
        <v>0</v>
      </c>
      <c r="BM39" s="7">
        <v>0</v>
      </c>
      <c r="BN39" s="7">
        <v>0</v>
      </c>
      <c r="BO39" s="78">
        <f t="shared" ref="BO39:BO45" si="70">+ROUND(BM39*BN39*$U39*$V39,0)</f>
        <v>0</v>
      </c>
      <c r="BP39" s="119">
        <f t="shared" ref="BP39:BP45" si="71">+Z39*AA39+AC39*AD39+AF39*AG39+AI39*AJ39+AL39*AM39+AO39*AP39++AR39*AS39+AU39*AV39+AX39*AY39+BA39*BB39+BD39*BE39+BG39*BH39+BJ39*BK39+BM39*BN39</f>
        <v>9.6566666666666663</v>
      </c>
      <c r="BQ39" s="120">
        <f t="shared" ref="BQ39:BQ45" si="72">+AB39+AE39+AH39+AK39+AN39+AQ39+AT39+AW39+AZ39+BC39+BF39+BI39+BL39+BO39</f>
        <v>51180333</v>
      </c>
      <c r="BR39" s="121">
        <f t="shared" ref="BR39:BR45" si="73">+W39*X39-BP39</f>
        <v>14.343333333333334</v>
      </c>
      <c r="BS39" s="162">
        <f t="shared" ref="BS39:BS45" si="74">+Y39-BQ39</f>
        <v>76019667</v>
      </c>
      <c r="BU39" s="171"/>
      <c r="BV39" s="199"/>
      <c r="BX39" s="21"/>
    </row>
    <row r="40" spans="1:77" ht="56.15" customHeight="1" x14ac:dyDescent="0.45">
      <c r="A40" s="136" t="str">
        <f>+'[1]ACTA 1'!B31</f>
        <v xml:space="preserve">Moto No. 1.  Alquiler modelo 2015 o superior  - tarifa de alquiler </v>
      </c>
      <c r="B40" s="82" t="str">
        <f>+'[1]ACTA 1'!C31</f>
        <v>Unidad</v>
      </c>
      <c r="C40" s="30">
        <f>+'[1]ACTA 1'!E31</f>
        <v>550000</v>
      </c>
      <c r="D40" s="63">
        <v>1</v>
      </c>
      <c r="E40" s="31">
        <v>4</v>
      </c>
      <c r="F40" s="31">
        <v>8</v>
      </c>
      <c r="G40" s="32">
        <f t="shared" ref="G40:G45" si="75">+F40*E40*D40*C40</f>
        <v>17600000</v>
      </c>
      <c r="H40" s="82" t="s">
        <v>46</v>
      </c>
      <c r="I40" s="30">
        <v>550000</v>
      </c>
      <c r="J40" s="31">
        <v>1</v>
      </c>
      <c r="K40" s="31">
        <v>0</v>
      </c>
      <c r="L40" s="31">
        <v>0</v>
      </c>
      <c r="M40" s="32">
        <f t="shared" ref="M40:M45" si="76">+L40*K40*J40*I40</f>
        <v>0</v>
      </c>
      <c r="N40" s="82" t="s">
        <v>46</v>
      </c>
      <c r="O40" s="30">
        <v>550000</v>
      </c>
      <c r="P40" s="31">
        <v>1</v>
      </c>
      <c r="Q40" s="31">
        <v>0</v>
      </c>
      <c r="R40" s="31">
        <v>0</v>
      </c>
      <c r="S40" s="32">
        <f t="shared" ref="S40:S45" si="77">+R40*Q40*P40*O40</f>
        <v>0</v>
      </c>
      <c r="T40" s="82" t="s">
        <v>46</v>
      </c>
      <c r="U40" s="30">
        <v>550000</v>
      </c>
      <c r="V40" s="31">
        <v>1</v>
      </c>
      <c r="W40" s="7">
        <f t="shared" si="58"/>
        <v>4</v>
      </c>
      <c r="X40" s="7">
        <f t="shared" si="58"/>
        <v>8</v>
      </c>
      <c r="Y40" s="32">
        <f t="shared" si="59"/>
        <v>17600000</v>
      </c>
      <c r="Z40" s="160">
        <v>0</v>
      </c>
      <c r="AA40" s="31">
        <v>0</v>
      </c>
      <c r="AB40" s="78">
        <f t="shared" si="60"/>
        <v>0</v>
      </c>
      <c r="AC40" s="119"/>
      <c r="AD40" s="7"/>
      <c r="AE40" s="78"/>
      <c r="AF40" s="31"/>
      <c r="AG40" s="11"/>
      <c r="AH40" s="78"/>
      <c r="AI40" s="31">
        <v>0</v>
      </c>
      <c r="AJ40" s="7">
        <v>0</v>
      </c>
      <c r="AK40" s="78">
        <f>+ROUND(AJ40*AI40*C40*D40,0)</f>
        <v>0</v>
      </c>
      <c r="AL40" s="7">
        <v>0</v>
      </c>
      <c r="AM40" s="7">
        <v>0</v>
      </c>
      <c r="AN40" s="78">
        <f t="shared" si="61"/>
        <v>0</v>
      </c>
      <c r="AO40" s="7">
        <v>0</v>
      </c>
      <c r="AP40" s="7">
        <v>0</v>
      </c>
      <c r="AQ40" s="78">
        <f t="shared" si="62"/>
        <v>0</v>
      </c>
      <c r="AR40" s="7">
        <v>0</v>
      </c>
      <c r="AS40" s="7">
        <v>0</v>
      </c>
      <c r="AT40" s="78">
        <f t="shared" si="63"/>
        <v>0</v>
      </c>
      <c r="AU40" s="7">
        <v>0</v>
      </c>
      <c r="AV40" s="7">
        <v>0</v>
      </c>
      <c r="AW40" s="78">
        <f t="shared" si="64"/>
        <v>0</v>
      </c>
      <c r="AX40" s="7">
        <v>0</v>
      </c>
      <c r="AY40" s="7">
        <v>0</v>
      </c>
      <c r="AZ40" s="78">
        <f t="shared" si="65"/>
        <v>0</v>
      </c>
      <c r="BA40" s="7">
        <v>0</v>
      </c>
      <c r="BB40" s="7">
        <v>0</v>
      </c>
      <c r="BC40" s="78">
        <f t="shared" si="66"/>
        <v>0</v>
      </c>
      <c r="BD40" s="7">
        <v>0</v>
      </c>
      <c r="BE40" s="7">
        <v>0</v>
      </c>
      <c r="BF40" s="78">
        <f t="shared" si="67"/>
        <v>0</v>
      </c>
      <c r="BG40" s="7">
        <v>1</v>
      </c>
      <c r="BH40" s="7">
        <v>0.43</v>
      </c>
      <c r="BI40" s="78">
        <f t="shared" si="68"/>
        <v>236500</v>
      </c>
      <c r="BJ40" s="7">
        <v>0</v>
      </c>
      <c r="BK40" s="7">
        <v>0</v>
      </c>
      <c r="BL40" s="78">
        <f t="shared" si="69"/>
        <v>0</v>
      </c>
      <c r="BM40" s="7">
        <v>0</v>
      </c>
      <c r="BN40" s="7">
        <v>0</v>
      </c>
      <c r="BO40" s="78">
        <f t="shared" si="70"/>
        <v>0</v>
      </c>
      <c r="BP40" s="119">
        <f t="shared" si="71"/>
        <v>0.43</v>
      </c>
      <c r="BQ40" s="120">
        <f t="shared" si="72"/>
        <v>236500</v>
      </c>
      <c r="BR40" s="121">
        <f t="shared" si="73"/>
        <v>31.57</v>
      </c>
      <c r="BS40" s="27">
        <f t="shared" si="74"/>
        <v>17363500</v>
      </c>
      <c r="BU40" s="171"/>
      <c r="BV40" s="199"/>
      <c r="BX40" s="21"/>
    </row>
    <row r="41" spans="1:77" ht="50" x14ac:dyDescent="0.45">
      <c r="A41" s="136" t="str">
        <f>+'[1]ACTA 1'!B32</f>
        <v>Fotocopias, edición informes, registros fotográficos entre otros en oficina en campo</v>
      </c>
      <c r="B41" s="82" t="str">
        <f>+'[1]ACTA 1'!C32</f>
        <v>Unidad</v>
      </c>
      <c r="C41" s="30">
        <v>350000</v>
      </c>
      <c r="D41" s="63">
        <v>1</v>
      </c>
      <c r="E41" s="31">
        <f>+'[1]ACTA 1'!D32</f>
        <v>1</v>
      </c>
      <c r="F41" s="31">
        <v>9</v>
      </c>
      <c r="G41" s="32">
        <f t="shared" si="75"/>
        <v>3150000</v>
      </c>
      <c r="H41" s="82" t="s">
        <v>46</v>
      </c>
      <c r="I41" s="30">
        <v>350000</v>
      </c>
      <c r="J41" s="31">
        <v>1</v>
      </c>
      <c r="K41" s="31">
        <v>0</v>
      </c>
      <c r="L41" s="31">
        <v>0</v>
      </c>
      <c r="M41" s="32">
        <f t="shared" si="76"/>
        <v>0</v>
      </c>
      <c r="N41" s="82" t="s">
        <v>46</v>
      </c>
      <c r="O41" s="30">
        <v>350000</v>
      </c>
      <c r="P41" s="31">
        <v>1</v>
      </c>
      <c r="Q41" s="31">
        <v>0</v>
      </c>
      <c r="R41" s="31">
        <v>0</v>
      </c>
      <c r="S41" s="32">
        <f t="shared" si="77"/>
        <v>0</v>
      </c>
      <c r="T41" s="82" t="s">
        <v>46</v>
      </c>
      <c r="U41" s="30">
        <v>350000</v>
      </c>
      <c r="V41" s="31">
        <v>1</v>
      </c>
      <c r="W41" s="7">
        <f t="shared" si="58"/>
        <v>1</v>
      </c>
      <c r="X41" s="7">
        <f t="shared" si="58"/>
        <v>9</v>
      </c>
      <c r="Y41" s="32">
        <f t="shared" si="59"/>
        <v>3150000</v>
      </c>
      <c r="Z41" s="160">
        <v>0</v>
      </c>
      <c r="AA41" s="31">
        <v>0</v>
      </c>
      <c r="AB41" s="78">
        <f t="shared" si="60"/>
        <v>0</v>
      </c>
      <c r="AC41" s="119"/>
      <c r="AD41" s="7"/>
      <c r="AE41" s="78"/>
      <c r="AF41" s="31"/>
      <c r="AG41" s="11"/>
      <c r="AH41" s="78"/>
      <c r="AI41" s="31">
        <v>0</v>
      </c>
      <c r="AJ41" s="7">
        <v>0</v>
      </c>
      <c r="AK41" s="78">
        <f>+ROUND(AJ41*AI41*C41*D41,0)</f>
        <v>0</v>
      </c>
      <c r="AL41" s="7">
        <v>1</v>
      </c>
      <c r="AM41" s="7">
        <v>1</v>
      </c>
      <c r="AN41" s="78">
        <f t="shared" si="61"/>
        <v>350000</v>
      </c>
      <c r="AO41" s="7">
        <v>1</v>
      </c>
      <c r="AP41" s="7">
        <v>1</v>
      </c>
      <c r="AQ41" s="78">
        <f t="shared" si="62"/>
        <v>350000</v>
      </c>
      <c r="AR41" s="7">
        <v>1</v>
      </c>
      <c r="AS41" s="7">
        <v>1</v>
      </c>
      <c r="AT41" s="78">
        <f t="shared" si="63"/>
        <v>350000</v>
      </c>
      <c r="AU41" s="7">
        <v>1</v>
      </c>
      <c r="AV41" s="7">
        <v>0.17</v>
      </c>
      <c r="AW41" s="78">
        <f t="shared" si="64"/>
        <v>59500</v>
      </c>
      <c r="AX41" s="7">
        <v>1</v>
      </c>
      <c r="AY41" s="7">
        <v>1</v>
      </c>
      <c r="AZ41" s="78">
        <f t="shared" si="65"/>
        <v>350000</v>
      </c>
      <c r="BA41" s="7">
        <v>1</v>
      </c>
      <c r="BB41" s="7">
        <v>1</v>
      </c>
      <c r="BC41" s="78">
        <f t="shared" si="66"/>
        <v>350000</v>
      </c>
      <c r="BD41" s="7">
        <v>1</v>
      </c>
      <c r="BE41" s="7">
        <v>1</v>
      </c>
      <c r="BF41" s="78">
        <f t="shared" si="67"/>
        <v>350000</v>
      </c>
      <c r="BG41" s="7">
        <v>1</v>
      </c>
      <c r="BH41" s="7">
        <v>0.43</v>
      </c>
      <c r="BI41" s="78">
        <f t="shared" si="68"/>
        <v>150500</v>
      </c>
      <c r="BJ41" s="7">
        <v>0</v>
      </c>
      <c r="BK41" s="7">
        <v>0</v>
      </c>
      <c r="BL41" s="78">
        <f t="shared" si="69"/>
        <v>0</v>
      </c>
      <c r="BM41" s="7">
        <v>0</v>
      </c>
      <c r="BN41" s="7">
        <v>0</v>
      </c>
      <c r="BO41" s="78">
        <f t="shared" si="70"/>
        <v>0</v>
      </c>
      <c r="BP41" s="119">
        <f t="shared" si="71"/>
        <v>6.6</v>
      </c>
      <c r="BQ41" s="120">
        <f t="shared" si="72"/>
        <v>2310000</v>
      </c>
      <c r="BR41" s="121">
        <f t="shared" si="73"/>
        <v>2.4000000000000004</v>
      </c>
      <c r="BS41" s="27">
        <f t="shared" si="74"/>
        <v>840000</v>
      </c>
      <c r="BU41" s="171"/>
      <c r="BV41" s="199"/>
      <c r="BX41" s="21"/>
    </row>
    <row r="42" spans="1:77" ht="66" customHeight="1" x14ac:dyDescent="0.45">
      <c r="A42" s="136" t="str">
        <f>+'[1]ACTA 1'!B33</f>
        <v>Comunicaciones (Teléfono, Fax, Celular, Internet, Etc.) mensual en campo</v>
      </c>
      <c r="B42" s="82" t="str">
        <f>+'[1]ACTA 1'!C33</f>
        <v>Unidad</v>
      </c>
      <c r="C42" s="30">
        <v>60000</v>
      </c>
      <c r="D42" s="63">
        <v>1</v>
      </c>
      <c r="E42" s="31">
        <v>16</v>
      </c>
      <c r="F42" s="31">
        <v>8</v>
      </c>
      <c r="G42" s="32">
        <f t="shared" si="75"/>
        <v>7680000</v>
      </c>
      <c r="H42" s="82" t="s">
        <v>46</v>
      </c>
      <c r="I42" s="30">
        <v>60000</v>
      </c>
      <c r="J42" s="31">
        <v>1</v>
      </c>
      <c r="K42" s="31">
        <v>0</v>
      </c>
      <c r="L42" s="31">
        <v>0</v>
      </c>
      <c r="M42" s="32">
        <f t="shared" si="76"/>
        <v>0</v>
      </c>
      <c r="N42" s="82" t="s">
        <v>46</v>
      </c>
      <c r="O42" s="30">
        <v>60000</v>
      </c>
      <c r="P42" s="31">
        <v>1</v>
      </c>
      <c r="Q42" s="31">
        <v>0</v>
      </c>
      <c r="R42" s="31">
        <v>0</v>
      </c>
      <c r="S42" s="32">
        <f t="shared" si="77"/>
        <v>0</v>
      </c>
      <c r="T42" s="82" t="s">
        <v>46</v>
      </c>
      <c r="U42" s="30">
        <v>60000</v>
      </c>
      <c r="V42" s="31">
        <v>1</v>
      </c>
      <c r="W42" s="7">
        <f t="shared" si="58"/>
        <v>16</v>
      </c>
      <c r="X42" s="7">
        <f t="shared" si="58"/>
        <v>8</v>
      </c>
      <c r="Y42" s="32">
        <f t="shared" si="59"/>
        <v>7680000</v>
      </c>
      <c r="Z42" s="160">
        <v>6</v>
      </c>
      <c r="AA42" s="31">
        <v>0.5</v>
      </c>
      <c r="AB42" s="78">
        <f t="shared" si="60"/>
        <v>180000</v>
      </c>
      <c r="AC42" s="169">
        <v>6</v>
      </c>
      <c r="AD42" s="167">
        <v>1</v>
      </c>
      <c r="AE42" s="168">
        <f>+ROUND(U42*V42*AC42*AD42,0)</f>
        <v>360000</v>
      </c>
      <c r="AF42" s="169">
        <v>6</v>
      </c>
      <c r="AG42" s="167">
        <v>1</v>
      </c>
      <c r="AH42" s="168">
        <f>+ROUND(AG42*AF42*V42*U42,0)</f>
        <v>360000</v>
      </c>
      <c r="AI42" s="169">
        <v>6</v>
      </c>
      <c r="AJ42" s="167">
        <f>+ROUND(0.233333333333333,4)</f>
        <v>0.23330000000000001</v>
      </c>
      <c r="AK42" s="168">
        <f>+ROUND(AJ42*AI42*C42*D42,0)</f>
        <v>83988</v>
      </c>
      <c r="AL42" s="7">
        <v>3</v>
      </c>
      <c r="AM42" s="7">
        <f>+ROUND(AVERAGE(14,23,8)/30,4)</f>
        <v>0.5</v>
      </c>
      <c r="AN42" s="78">
        <f t="shared" si="61"/>
        <v>90000</v>
      </c>
      <c r="AO42" s="167">
        <v>5</v>
      </c>
      <c r="AP42" s="167">
        <v>1</v>
      </c>
      <c r="AQ42" s="168">
        <f t="shared" si="62"/>
        <v>300000</v>
      </c>
      <c r="AR42" s="167">
        <v>6</v>
      </c>
      <c r="AS42" s="167">
        <v>1</v>
      </c>
      <c r="AT42" s="168">
        <f t="shared" si="63"/>
        <v>360000</v>
      </c>
      <c r="AU42" s="7">
        <v>5</v>
      </c>
      <c r="AV42" s="7">
        <v>1</v>
      </c>
      <c r="AW42" s="78">
        <f t="shared" si="64"/>
        <v>300000</v>
      </c>
      <c r="AX42" s="7">
        <v>5</v>
      </c>
      <c r="AY42" s="7">
        <v>0.17</v>
      </c>
      <c r="AZ42" s="78">
        <f t="shared" si="65"/>
        <v>51000</v>
      </c>
      <c r="BA42" s="7">
        <v>4</v>
      </c>
      <c r="BB42" s="7">
        <v>1</v>
      </c>
      <c r="BC42" s="78">
        <f t="shared" si="66"/>
        <v>240000</v>
      </c>
      <c r="BD42" s="7">
        <v>7</v>
      </c>
      <c r="BE42" s="7">
        <v>1</v>
      </c>
      <c r="BF42" s="78">
        <f t="shared" si="67"/>
        <v>420000</v>
      </c>
      <c r="BG42" s="7">
        <v>8</v>
      </c>
      <c r="BH42" s="7">
        <v>0.43</v>
      </c>
      <c r="BI42" s="78">
        <f t="shared" si="68"/>
        <v>206400</v>
      </c>
      <c r="BJ42" s="7">
        <v>0</v>
      </c>
      <c r="BK42" s="7">
        <v>0</v>
      </c>
      <c r="BL42" s="78">
        <f t="shared" si="69"/>
        <v>0</v>
      </c>
      <c r="BM42" s="7">
        <v>0</v>
      </c>
      <c r="BN42" s="7">
        <v>0</v>
      </c>
      <c r="BO42" s="78">
        <f t="shared" si="70"/>
        <v>0</v>
      </c>
      <c r="BP42" s="119">
        <f t="shared" si="71"/>
        <v>49.189799999999998</v>
      </c>
      <c r="BQ42" s="120">
        <f t="shared" si="72"/>
        <v>2951388</v>
      </c>
      <c r="BR42" s="121">
        <f t="shared" si="73"/>
        <v>78.810200000000009</v>
      </c>
      <c r="BS42" s="27">
        <f t="shared" si="74"/>
        <v>4728612</v>
      </c>
      <c r="BU42" s="171"/>
      <c r="BV42" s="199"/>
      <c r="BX42" s="21"/>
    </row>
    <row r="43" spans="1:77" ht="81" customHeight="1" x14ac:dyDescent="0.45">
      <c r="A43" s="136" t="str">
        <f>+'[1]ACTA 1'!B34</f>
        <v>Tarifa puesto de trabajo del personal de oficina de campo, incluye: alquiler de un (1) equipo de computo completo, escritorio y silla</v>
      </c>
      <c r="B43" s="82" t="str">
        <f>+'[1]ACTA 1'!C34</f>
        <v>Unidad</v>
      </c>
      <c r="C43" s="30">
        <v>190000</v>
      </c>
      <c r="D43" s="63">
        <v>1</v>
      </c>
      <c r="E43" s="31">
        <v>16</v>
      </c>
      <c r="F43" s="31">
        <v>8</v>
      </c>
      <c r="G43" s="32">
        <f t="shared" si="75"/>
        <v>24320000</v>
      </c>
      <c r="H43" s="82" t="s">
        <v>46</v>
      </c>
      <c r="I43" s="30">
        <v>190000</v>
      </c>
      <c r="J43" s="31">
        <v>1</v>
      </c>
      <c r="K43" s="31">
        <v>0</v>
      </c>
      <c r="L43" s="31">
        <v>0</v>
      </c>
      <c r="M43" s="32">
        <f t="shared" si="76"/>
        <v>0</v>
      </c>
      <c r="N43" s="82" t="s">
        <v>46</v>
      </c>
      <c r="O43" s="30">
        <v>190000</v>
      </c>
      <c r="P43" s="31">
        <v>1</v>
      </c>
      <c r="Q43" s="31">
        <v>0</v>
      </c>
      <c r="R43" s="31">
        <v>0</v>
      </c>
      <c r="S43" s="32">
        <f t="shared" si="77"/>
        <v>0</v>
      </c>
      <c r="T43" s="82" t="s">
        <v>46</v>
      </c>
      <c r="U43" s="30">
        <v>190000</v>
      </c>
      <c r="V43" s="31">
        <v>1</v>
      </c>
      <c r="W43" s="7">
        <f t="shared" si="58"/>
        <v>16</v>
      </c>
      <c r="X43" s="7">
        <f t="shared" si="58"/>
        <v>8</v>
      </c>
      <c r="Y43" s="32">
        <f t="shared" si="59"/>
        <v>24320000</v>
      </c>
      <c r="Z43" s="160">
        <v>6</v>
      </c>
      <c r="AA43" s="31">
        <v>0.5</v>
      </c>
      <c r="AB43" s="78">
        <f t="shared" si="60"/>
        <v>570000</v>
      </c>
      <c r="AC43" s="157">
        <v>6</v>
      </c>
      <c r="AD43" s="7">
        <v>1</v>
      </c>
      <c r="AE43" s="137">
        <f>+ROUND(U43*V43*AC43*AD43,0)</f>
        <v>1140000</v>
      </c>
      <c r="AF43" s="157">
        <v>6</v>
      </c>
      <c r="AG43" s="7">
        <v>1</v>
      </c>
      <c r="AH43" s="137">
        <f>+ROUND(AG43*AF43*V43*U43,0)</f>
        <v>1140000</v>
      </c>
      <c r="AI43" s="157">
        <v>6</v>
      </c>
      <c r="AJ43" s="7">
        <f>+ROUND(0.233333333333333,4)</f>
        <v>0.23330000000000001</v>
      </c>
      <c r="AK43" s="78">
        <f>+ROUND(AJ43*AI43*C43*D43,0)</f>
        <v>265962</v>
      </c>
      <c r="AL43" s="7">
        <v>3</v>
      </c>
      <c r="AM43" s="7">
        <f>+ROUND(AVERAGE(14,23,8)/30,4)</f>
        <v>0.5</v>
      </c>
      <c r="AN43" s="78">
        <f t="shared" si="61"/>
        <v>285000</v>
      </c>
      <c r="AO43" s="7">
        <v>5</v>
      </c>
      <c r="AP43" s="7">
        <v>1</v>
      </c>
      <c r="AQ43" s="78">
        <f t="shared" si="62"/>
        <v>950000</v>
      </c>
      <c r="AR43" s="7">
        <v>6</v>
      </c>
      <c r="AS43" s="7">
        <v>1</v>
      </c>
      <c r="AT43" s="78">
        <f t="shared" si="63"/>
        <v>1140000</v>
      </c>
      <c r="AU43" s="7">
        <v>5</v>
      </c>
      <c r="AV43" s="7">
        <v>0.17</v>
      </c>
      <c r="AW43" s="78">
        <f t="shared" si="64"/>
        <v>161500</v>
      </c>
      <c r="AX43" s="7">
        <v>4</v>
      </c>
      <c r="AY43" s="7">
        <v>1</v>
      </c>
      <c r="AZ43" s="78">
        <f t="shared" si="65"/>
        <v>760000</v>
      </c>
      <c r="BA43" s="7">
        <v>4</v>
      </c>
      <c r="BB43" s="7">
        <v>1</v>
      </c>
      <c r="BC43" s="78">
        <f t="shared" si="66"/>
        <v>760000</v>
      </c>
      <c r="BD43" s="7">
        <v>7</v>
      </c>
      <c r="BE43" s="7">
        <v>1</v>
      </c>
      <c r="BF43" s="78">
        <f t="shared" si="67"/>
        <v>1330000</v>
      </c>
      <c r="BG43" s="7">
        <v>8</v>
      </c>
      <c r="BH43" s="7">
        <v>0.43</v>
      </c>
      <c r="BI43" s="78">
        <f t="shared" si="68"/>
        <v>653600</v>
      </c>
      <c r="BJ43" s="7">
        <v>0</v>
      </c>
      <c r="BK43" s="7">
        <v>0</v>
      </c>
      <c r="BL43" s="78">
        <f t="shared" si="69"/>
        <v>0</v>
      </c>
      <c r="BM43" s="7">
        <v>0</v>
      </c>
      <c r="BN43" s="7">
        <v>0</v>
      </c>
      <c r="BO43" s="78">
        <f t="shared" si="70"/>
        <v>0</v>
      </c>
      <c r="BP43" s="119">
        <f t="shared" si="71"/>
        <v>48.189799999999998</v>
      </c>
      <c r="BQ43" s="120">
        <f t="shared" si="72"/>
        <v>9156062</v>
      </c>
      <c r="BR43" s="121">
        <f t="shared" si="73"/>
        <v>79.810200000000009</v>
      </c>
      <c r="BS43" s="27">
        <f t="shared" si="74"/>
        <v>15163938</v>
      </c>
      <c r="BU43" s="171"/>
      <c r="BV43" s="199"/>
      <c r="BX43" s="173"/>
    </row>
    <row r="44" spans="1:77" ht="27.5" x14ac:dyDescent="0.45">
      <c r="A44" s="136" t="str">
        <f>+'[1]ACTA 1'!B35</f>
        <v>Impresora (Una sola vez en el contrato)</v>
      </c>
      <c r="B44" s="82" t="str">
        <f>+'[1]ACTA 1'!C35</f>
        <v>Unidad</v>
      </c>
      <c r="C44" s="30">
        <v>1600000</v>
      </c>
      <c r="D44" s="63">
        <v>1</v>
      </c>
      <c r="E44" s="31">
        <f>+'[1]ACTA 1'!D35</f>
        <v>3</v>
      </c>
      <c r="F44" s="31">
        <f>+'[1]ACTA 1'!G35</f>
        <v>1</v>
      </c>
      <c r="G44" s="32">
        <f t="shared" si="75"/>
        <v>4800000</v>
      </c>
      <c r="H44" s="82" t="s">
        <v>46</v>
      </c>
      <c r="I44" s="30">
        <v>1600000</v>
      </c>
      <c r="J44" s="31">
        <v>1</v>
      </c>
      <c r="K44" s="31">
        <v>0</v>
      </c>
      <c r="L44" s="31">
        <v>0</v>
      </c>
      <c r="M44" s="32">
        <f t="shared" si="76"/>
        <v>0</v>
      </c>
      <c r="N44" s="82" t="s">
        <v>46</v>
      </c>
      <c r="O44" s="30">
        <v>1600000</v>
      </c>
      <c r="P44" s="31">
        <v>1</v>
      </c>
      <c r="Q44" s="31">
        <v>0</v>
      </c>
      <c r="R44" s="31">
        <v>0</v>
      </c>
      <c r="S44" s="32">
        <f t="shared" si="77"/>
        <v>0</v>
      </c>
      <c r="T44" s="82" t="s">
        <v>46</v>
      </c>
      <c r="U44" s="30">
        <v>1600000</v>
      </c>
      <c r="V44" s="31">
        <v>1</v>
      </c>
      <c r="W44" s="7">
        <f t="shared" si="58"/>
        <v>3</v>
      </c>
      <c r="X44" s="7">
        <f t="shared" si="58"/>
        <v>1</v>
      </c>
      <c r="Y44" s="32">
        <f t="shared" si="59"/>
        <v>4800000</v>
      </c>
      <c r="Z44" s="160">
        <v>0</v>
      </c>
      <c r="AA44" s="31">
        <v>0</v>
      </c>
      <c r="AB44" s="78">
        <f t="shared" si="60"/>
        <v>0</v>
      </c>
      <c r="AC44" s="157"/>
      <c r="AD44" s="7"/>
      <c r="AE44" s="137"/>
      <c r="AF44" s="34"/>
      <c r="AG44" s="35"/>
      <c r="AH44" s="137"/>
      <c r="AI44" s="31">
        <v>0</v>
      </c>
      <c r="AJ44" s="7">
        <v>0</v>
      </c>
      <c r="AK44" s="78">
        <f t="shared" ref="AK44:AK45" si="78">+ROUND(AJ44*AI44*C44*D44,0)</f>
        <v>0</v>
      </c>
      <c r="AL44" s="167">
        <v>1</v>
      </c>
      <c r="AM44" s="167">
        <v>1</v>
      </c>
      <c r="AN44" s="168">
        <f t="shared" si="61"/>
        <v>1600000</v>
      </c>
      <c r="AO44" s="7">
        <v>0</v>
      </c>
      <c r="AP44" s="7">
        <v>0</v>
      </c>
      <c r="AQ44" s="78">
        <f t="shared" si="62"/>
        <v>0</v>
      </c>
      <c r="AR44" s="7">
        <v>0</v>
      </c>
      <c r="AS44" s="7">
        <v>0</v>
      </c>
      <c r="AT44" s="78">
        <f t="shared" si="63"/>
        <v>0</v>
      </c>
      <c r="AU44" s="7">
        <v>0</v>
      </c>
      <c r="AV44" s="7">
        <v>0</v>
      </c>
      <c r="AW44" s="78">
        <f t="shared" si="64"/>
        <v>0</v>
      </c>
      <c r="AX44" s="7">
        <v>0</v>
      </c>
      <c r="AY44" s="7">
        <v>0</v>
      </c>
      <c r="AZ44" s="78">
        <f t="shared" si="65"/>
        <v>0</v>
      </c>
      <c r="BA44" s="7">
        <v>0</v>
      </c>
      <c r="BB44" s="7">
        <v>0</v>
      </c>
      <c r="BC44" s="78">
        <f t="shared" si="66"/>
        <v>0</v>
      </c>
      <c r="BD44" s="7">
        <v>0</v>
      </c>
      <c r="BE44" s="7">
        <v>0</v>
      </c>
      <c r="BF44" s="78">
        <f t="shared" si="67"/>
        <v>0</v>
      </c>
      <c r="BG44" s="7">
        <v>0</v>
      </c>
      <c r="BH44" s="7">
        <v>0</v>
      </c>
      <c r="BI44" s="78">
        <f t="shared" si="68"/>
        <v>0</v>
      </c>
      <c r="BJ44" s="7">
        <v>0</v>
      </c>
      <c r="BK44" s="7">
        <v>0</v>
      </c>
      <c r="BL44" s="78">
        <f t="shared" si="69"/>
        <v>0</v>
      </c>
      <c r="BM44" s="7">
        <v>0</v>
      </c>
      <c r="BN44" s="7">
        <v>0</v>
      </c>
      <c r="BO44" s="78">
        <f t="shared" si="70"/>
        <v>0</v>
      </c>
      <c r="BP44" s="119">
        <f t="shared" si="71"/>
        <v>1</v>
      </c>
      <c r="BQ44" s="120">
        <f t="shared" si="72"/>
        <v>1600000</v>
      </c>
      <c r="BR44" s="121">
        <f t="shared" si="73"/>
        <v>2</v>
      </c>
      <c r="BS44" s="27">
        <f t="shared" si="74"/>
        <v>3200000</v>
      </c>
      <c r="BU44" s="171"/>
      <c r="BV44" s="199"/>
      <c r="BX44" s="173"/>
    </row>
    <row r="45" spans="1:77" ht="50" x14ac:dyDescent="0.45">
      <c r="A45" s="136" t="str">
        <f>+'[1]ACTA 1'!B36</f>
        <v>Oficina de campo (alquiler y pago de servicios públicos)</v>
      </c>
      <c r="B45" s="82" t="str">
        <f>+'[1]ACTA 1'!C36</f>
        <v>Unidad</v>
      </c>
      <c r="C45" s="30">
        <v>1200000</v>
      </c>
      <c r="D45" s="63">
        <v>1</v>
      </c>
      <c r="E45" s="31">
        <f>+'[1]ACTA 1'!D36</f>
        <v>3</v>
      </c>
      <c r="F45" s="31">
        <v>8</v>
      </c>
      <c r="G45" s="33">
        <f t="shared" si="75"/>
        <v>28800000</v>
      </c>
      <c r="H45" s="82" t="s">
        <v>46</v>
      </c>
      <c r="I45" s="30">
        <v>1200000</v>
      </c>
      <c r="J45" s="31">
        <v>1</v>
      </c>
      <c r="K45" s="31">
        <v>0</v>
      </c>
      <c r="L45" s="31">
        <v>0</v>
      </c>
      <c r="M45" s="32">
        <f t="shared" si="76"/>
        <v>0</v>
      </c>
      <c r="N45" s="82" t="s">
        <v>46</v>
      </c>
      <c r="O45" s="30">
        <v>1200000</v>
      </c>
      <c r="P45" s="31">
        <v>1</v>
      </c>
      <c r="Q45" s="31">
        <v>0</v>
      </c>
      <c r="R45" s="31">
        <v>0</v>
      </c>
      <c r="S45" s="32">
        <f t="shared" si="77"/>
        <v>0</v>
      </c>
      <c r="T45" s="82" t="s">
        <v>46</v>
      </c>
      <c r="U45" s="30">
        <v>1200000</v>
      </c>
      <c r="V45" s="31">
        <v>1</v>
      </c>
      <c r="W45" s="7">
        <f t="shared" si="58"/>
        <v>3</v>
      </c>
      <c r="X45" s="7">
        <f t="shared" si="58"/>
        <v>8</v>
      </c>
      <c r="Y45" s="32">
        <f t="shared" si="59"/>
        <v>28800000</v>
      </c>
      <c r="Z45" s="160">
        <v>0</v>
      </c>
      <c r="AA45" s="31">
        <v>0</v>
      </c>
      <c r="AB45" s="78">
        <f t="shared" si="60"/>
        <v>0</v>
      </c>
      <c r="AC45" s="119"/>
      <c r="AD45" s="7"/>
      <c r="AE45" s="120"/>
      <c r="AF45" s="31"/>
      <c r="AG45" s="11"/>
      <c r="AH45" s="120"/>
      <c r="AI45" s="31">
        <v>0</v>
      </c>
      <c r="AJ45" s="7">
        <v>0</v>
      </c>
      <c r="AK45" s="78">
        <f t="shared" si="78"/>
        <v>0</v>
      </c>
      <c r="AL45" s="7">
        <v>1</v>
      </c>
      <c r="AM45" s="7">
        <f>+ROUND(0.3,4)</f>
        <v>0.3</v>
      </c>
      <c r="AN45" s="78">
        <f t="shared" si="61"/>
        <v>360000</v>
      </c>
      <c r="AO45" s="7">
        <v>1</v>
      </c>
      <c r="AP45" s="7">
        <v>1</v>
      </c>
      <c r="AQ45" s="78">
        <f>+ROUND(AO45*AP45*U45*V45,0)</f>
        <v>1200000</v>
      </c>
      <c r="AR45" s="167">
        <v>1</v>
      </c>
      <c r="AS45" s="167">
        <v>1</v>
      </c>
      <c r="AT45" s="168">
        <f t="shared" si="63"/>
        <v>1200000</v>
      </c>
      <c r="AU45" s="7">
        <v>1</v>
      </c>
      <c r="AV45" s="7">
        <v>1</v>
      </c>
      <c r="AW45" s="78">
        <f t="shared" si="64"/>
        <v>1200000</v>
      </c>
      <c r="AX45" s="7">
        <v>1</v>
      </c>
      <c r="AY45" s="7">
        <v>1</v>
      </c>
      <c r="AZ45" s="78">
        <f t="shared" si="65"/>
        <v>1200000</v>
      </c>
      <c r="BA45" s="7">
        <v>2</v>
      </c>
      <c r="BB45" s="7">
        <v>1</v>
      </c>
      <c r="BC45" s="78">
        <f t="shared" si="66"/>
        <v>2400000</v>
      </c>
      <c r="BD45" s="7">
        <v>2</v>
      </c>
      <c r="BE45" s="7">
        <v>1</v>
      </c>
      <c r="BF45" s="78">
        <f t="shared" si="67"/>
        <v>2400000</v>
      </c>
      <c r="BG45" s="7">
        <v>2</v>
      </c>
      <c r="BH45" s="7">
        <v>0.43</v>
      </c>
      <c r="BI45" s="78">
        <f t="shared" si="68"/>
        <v>1032000</v>
      </c>
      <c r="BJ45" s="7">
        <v>0</v>
      </c>
      <c r="BK45" s="7">
        <v>0</v>
      </c>
      <c r="BL45" s="78">
        <f t="shared" si="69"/>
        <v>0</v>
      </c>
      <c r="BM45" s="7">
        <v>0</v>
      </c>
      <c r="BN45" s="7">
        <v>0</v>
      </c>
      <c r="BO45" s="78">
        <f t="shared" si="70"/>
        <v>0</v>
      </c>
      <c r="BP45" s="119">
        <f t="shared" si="71"/>
        <v>9.16</v>
      </c>
      <c r="BQ45" s="120">
        <f t="shared" si="72"/>
        <v>10992000</v>
      </c>
      <c r="BR45" s="121">
        <f t="shared" si="73"/>
        <v>14.84</v>
      </c>
      <c r="BS45" s="27">
        <f t="shared" si="74"/>
        <v>17808000</v>
      </c>
      <c r="BU45" s="171"/>
      <c r="BV45" s="199"/>
      <c r="BX45" s="21"/>
    </row>
    <row r="46" spans="1:77" s="174" customFormat="1" ht="88" customHeight="1" x14ac:dyDescent="0.5">
      <c r="A46" s="140"/>
      <c r="B46" s="83"/>
      <c r="C46" s="65" t="str">
        <f>+'[1]ACTA 1'!E37</f>
        <v>Valor día</v>
      </c>
      <c r="D46" s="66"/>
      <c r="E46" s="66" t="s">
        <v>84</v>
      </c>
      <c r="F46" s="66" t="str">
        <f>+'[1]ACTA 1'!G37</f>
        <v>Plazo-Meses</v>
      </c>
      <c r="G46" s="39"/>
      <c r="H46" s="83"/>
      <c r="I46" s="65" t="s">
        <v>69</v>
      </c>
      <c r="J46" s="66"/>
      <c r="K46" s="66" t="s">
        <v>70</v>
      </c>
      <c r="L46" s="66" t="s">
        <v>71</v>
      </c>
      <c r="M46" s="39"/>
      <c r="N46" s="83"/>
      <c r="O46" s="65" t="s">
        <v>69</v>
      </c>
      <c r="P46" s="66"/>
      <c r="Q46" s="66" t="s">
        <v>70</v>
      </c>
      <c r="R46" s="66" t="s">
        <v>71</v>
      </c>
      <c r="S46" s="39"/>
      <c r="T46" s="83"/>
      <c r="U46" s="65" t="s">
        <v>69</v>
      </c>
      <c r="V46" s="66"/>
      <c r="W46" s="66" t="s">
        <v>84</v>
      </c>
      <c r="X46" s="66" t="s">
        <v>71</v>
      </c>
      <c r="Y46" s="39"/>
      <c r="Z46" s="161" t="str">
        <f>+E46</f>
        <v>No. dias mes</v>
      </c>
      <c r="AA46" s="66" t="s">
        <v>71</v>
      </c>
      <c r="AB46" s="78"/>
      <c r="AC46" s="156"/>
      <c r="AD46" s="7"/>
      <c r="AE46" s="85"/>
      <c r="AF46" s="66"/>
      <c r="AG46" s="141"/>
      <c r="AH46" s="85"/>
      <c r="AI46" s="66"/>
      <c r="AJ46" s="141"/>
      <c r="AK46" s="85"/>
      <c r="AL46" s="67"/>
      <c r="AM46" s="69"/>
      <c r="AN46" s="128"/>
      <c r="AO46" s="142"/>
      <c r="AP46" s="70"/>
      <c r="AQ46" s="128"/>
      <c r="AR46" s="7"/>
      <c r="AS46" s="7"/>
      <c r="AT46" s="78"/>
      <c r="AU46" s="142"/>
      <c r="AV46" s="70"/>
      <c r="AW46" s="128"/>
      <c r="AX46" s="142"/>
      <c r="AY46" s="70"/>
      <c r="AZ46" s="128"/>
      <c r="BA46" s="142"/>
      <c r="BB46" s="70"/>
      <c r="BC46" s="128"/>
      <c r="BD46" s="142"/>
      <c r="BE46" s="70"/>
      <c r="BF46" s="128"/>
      <c r="BG46" s="142"/>
      <c r="BH46" s="70"/>
      <c r="BI46" s="128"/>
      <c r="BJ46" s="142"/>
      <c r="BK46" s="70"/>
      <c r="BL46" s="128"/>
      <c r="BM46" s="142"/>
      <c r="BN46" s="70"/>
      <c r="BO46" s="128"/>
      <c r="BP46" s="156" t="str">
        <f>+AA46</f>
        <v>Plazo-Meses</v>
      </c>
      <c r="BQ46" s="28"/>
      <c r="BR46" s="143" t="s">
        <v>71</v>
      </c>
      <c r="BS46" s="22"/>
      <c r="BU46" s="171"/>
      <c r="BV46" s="199"/>
      <c r="BX46" s="175"/>
      <c r="BY46" s="176"/>
    </row>
    <row r="47" spans="1:77" ht="194.25" customHeight="1" x14ac:dyDescent="0.45">
      <c r="A47" s="136" t="str">
        <f>+'[1]ACTA 1'!B38</f>
        <v>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v>
      </c>
      <c r="B47" s="82" t="str">
        <f>+'[1]ACTA 1'!C38</f>
        <v>Día-mes</v>
      </c>
      <c r="C47" s="30">
        <v>693500</v>
      </c>
      <c r="D47" s="31"/>
      <c r="E47" s="31">
        <f>+'[1]ACTA 1'!D38</f>
        <v>15</v>
      </c>
      <c r="F47" s="31">
        <f>+'[1]ACTA 1'!G38</f>
        <v>5</v>
      </c>
      <c r="G47" s="32">
        <f>+F47*E47*C47</f>
        <v>52012500</v>
      </c>
      <c r="H47" s="82" t="s">
        <v>47</v>
      </c>
      <c r="I47" s="30">
        <v>693500</v>
      </c>
      <c r="J47" s="31"/>
      <c r="K47" s="31">
        <v>0</v>
      </c>
      <c r="L47" s="31">
        <v>0</v>
      </c>
      <c r="M47" s="32">
        <f>+L47*K47*I47</f>
        <v>0</v>
      </c>
      <c r="N47" s="82" t="s">
        <v>47</v>
      </c>
      <c r="O47" s="30">
        <v>693500</v>
      </c>
      <c r="P47" s="31"/>
      <c r="Q47" s="31">
        <v>0</v>
      </c>
      <c r="R47" s="31">
        <v>0</v>
      </c>
      <c r="S47" s="32">
        <f>+R47*Q47*O47</f>
        <v>0</v>
      </c>
      <c r="T47" s="82" t="s">
        <v>47</v>
      </c>
      <c r="U47" s="30">
        <v>693500</v>
      </c>
      <c r="V47" s="31"/>
      <c r="W47" s="7">
        <f t="shared" si="58"/>
        <v>15</v>
      </c>
      <c r="X47" s="7">
        <f t="shared" si="58"/>
        <v>5</v>
      </c>
      <c r="Y47" s="32">
        <f>+G47</f>
        <v>52012500</v>
      </c>
      <c r="Z47" s="160">
        <v>0</v>
      </c>
      <c r="AA47" s="31">
        <v>0</v>
      </c>
      <c r="AB47" s="78">
        <f>+U47*V47*Z47*AA47</f>
        <v>0</v>
      </c>
      <c r="AC47" s="119"/>
      <c r="AD47" s="7"/>
      <c r="AE47" s="78"/>
      <c r="AF47" s="31"/>
      <c r="AG47" s="11"/>
      <c r="AH47" s="78"/>
      <c r="AI47" s="31">
        <v>0</v>
      </c>
      <c r="AJ47" s="7">
        <v>0</v>
      </c>
      <c r="AK47" s="78">
        <f>+ROUND(AJ47*AI47*C47*D47,0)</f>
        <v>0</v>
      </c>
      <c r="AL47" s="7">
        <v>0</v>
      </c>
      <c r="AM47" s="7">
        <v>0</v>
      </c>
      <c r="AN47" s="78">
        <f>+ROUND(AL47*AM47*U47*V47,0)</f>
        <v>0</v>
      </c>
      <c r="AO47" s="7">
        <v>0</v>
      </c>
      <c r="AP47" s="7">
        <v>0</v>
      </c>
      <c r="AQ47" s="78">
        <f>+ROUND(AO47*AP47*U47*V47,0)</f>
        <v>0</v>
      </c>
      <c r="AR47" s="7">
        <v>0</v>
      </c>
      <c r="AS47" s="7">
        <v>0</v>
      </c>
      <c r="AT47" s="78">
        <f>+ROUND(AR47*AS47*U47*V47,0)</f>
        <v>0</v>
      </c>
      <c r="AU47" s="7">
        <v>0</v>
      </c>
      <c r="AV47" s="7">
        <v>0</v>
      </c>
      <c r="AW47" s="78">
        <f>+ROUND(AU47*AV47*$U47*$V47,0)</f>
        <v>0</v>
      </c>
      <c r="AX47" s="7">
        <v>0</v>
      </c>
      <c r="AY47" s="7">
        <v>0</v>
      </c>
      <c r="AZ47" s="78">
        <f t="shared" ref="AZ47" si="79">+ROUND(AX47*AY47*$U47*$V47,0)</f>
        <v>0</v>
      </c>
      <c r="BA47" s="7">
        <v>1</v>
      </c>
      <c r="BB47" s="7">
        <v>15</v>
      </c>
      <c r="BC47" s="78">
        <f>+ROUND(BA47*BB47*$U47,0)</f>
        <v>10402500</v>
      </c>
      <c r="BD47" s="7">
        <v>1</v>
      </c>
      <c r="BE47" s="7">
        <v>15</v>
      </c>
      <c r="BF47" s="78">
        <f>+ROUND(BD47*BE47*$U47,0)</f>
        <v>10402500</v>
      </c>
      <c r="BG47" s="7">
        <v>1</v>
      </c>
      <c r="BH47" s="7">
        <v>13</v>
      </c>
      <c r="BI47" s="78">
        <f>+ROUND(BG47*BH47*$U47,0)</f>
        <v>9015500</v>
      </c>
      <c r="BJ47" s="7">
        <v>0</v>
      </c>
      <c r="BK47" s="7">
        <v>0</v>
      </c>
      <c r="BL47" s="78">
        <f t="shared" ref="BL47" si="80">+ROUND(BJ47*BK47*$U47*$V47,0)</f>
        <v>0</v>
      </c>
      <c r="BM47" s="7">
        <v>0</v>
      </c>
      <c r="BN47" s="7">
        <v>0</v>
      </c>
      <c r="BO47" s="78">
        <f t="shared" ref="BO47" si="81">+ROUND(BM47*BN47*$U47*$V47,0)</f>
        <v>0</v>
      </c>
      <c r="BP47" s="119">
        <f>+Z47*AA47+AC47*AD47+AF47*AG47+AI47*AJ47+AL47*AM47+AO47*AP47++AR47*AS47+AU47*AV47+AX47*AY47+BA47*BB47+BD47*BE47+BG47*BH47+BJ47*BK47+BM47*BN47</f>
        <v>43</v>
      </c>
      <c r="BQ47" s="120">
        <f>+AB47+AE47+AH47+AK47+AN47+AQ47+AT47+AW47+AZ47+BC47+BF47+BI47+BL47+BO47</f>
        <v>29820500</v>
      </c>
      <c r="BR47" s="121">
        <f>+W47*X47-BP47</f>
        <v>32</v>
      </c>
      <c r="BS47" s="27">
        <f t="shared" ref="BS47:BS55" si="82">+Y47-BQ47</f>
        <v>22192000</v>
      </c>
      <c r="BU47" s="171"/>
      <c r="BV47" s="199"/>
      <c r="BX47" s="173"/>
      <c r="BY47" s="177"/>
    </row>
    <row r="48" spans="1:77" ht="115" customHeight="1" x14ac:dyDescent="0.45">
      <c r="A48" s="136" t="str">
        <f>+'[1]ACTA 1'!B39</f>
        <v>Ensayos de laboratorio:  Límites de Atterberg, granulometría, CBR, compresión simple, entre otros que se soliciten por parte de la Entidad. (Se pagan contra factura y resultados)</v>
      </c>
      <c r="B48" s="82" t="str">
        <f>+'[1]ACTA 1'!C39</f>
        <v xml:space="preserve">Estimado </v>
      </c>
      <c r="C48" s="30"/>
      <c r="D48" s="31"/>
      <c r="E48" s="31"/>
      <c r="F48" s="31"/>
      <c r="G48" s="32">
        <v>24424744</v>
      </c>
      <c r="H48" s="82" t="s">
        <v>48</v>
      </c>
      <c r="I48" s="30"/>
      <c r="J48" s="31"/>
      <c r="K48" s="31"/>
      <c r="L48" s="31"/>
      <c r="M48" s="32">
        <v>0</v>
      </c>
      <c r="N48" s="82" t="s">
        <v>48</v>
      </c>
      <c r="O48" s="30"/>
      <c r="P48" s="31"/>
      <c r="Q48" s="31"/>
      <c r="R48" s="31"/>
      <c r="S48" s="32">
        <v>0</v>
      </c>
      <c r="T48" s="82" t="s">
        <v>48</v>
      </c>
      <c r="U48" s="30"/>
      <c r="V48" s="31"/>
      <c r="W48" s="31"/>
      <c r="X48" s="31"/>
      <c r="Y48" s="32">
        <f>+G48+M48+S48</f>
        <v>24424744</v>
      </c>
      <c r="Z48" s="160">
        <v>0</v>
      </c>
      <c r="AA48" s="31">
        <v>0</v>
      </c>
      <c r="AB48" s="78">
        <f t="shared" ref="AB48:AB50" si="83">+U48*V48*Z48*AA48</f>
        <v>0</v>
      </c>
      <c r="AC48" s="119"/>
      <c r="AD48" s="7"/>
      <c r="AE48" s="78">
        <v>0</v>
      </c>
      <c r="AF48" s="31"/>
      <c r="AG48" s="11"/>
      <c r="AH48" s="78">
        <v>0</v>
      </c>
      <c r="AI48" s="31"/>
      <c r="AJ48" s="11"/>
      <c r="AK48" s="78">
        <v>0</v>
      </c>
      <c r="AL48" s="7"/>
      <c r="AM48" s="38"/>
      <c r="AN48" s="78">
        <v>0</v>
      </c>
      <c r="AO48" s="139"/>
      <c r="AP48" s="37"/>
      <c r="AQ48" s="78">
        <v>0</v>
      </c>
      <c r="AR48" s="139"/>
      <c r="AS48" s="37"/>
      <c r="AT48" s="78">
        <v>0</v>
      </c>
      <c r="AU48" s="139"/>
      <c r="AV48" s="37"/>
      <c r="AW48" s="78">
        <v>0</v>
      </c>
      <c r="AX48" s="139"/>
      <c r="AY48" s="37"/>
      <c r="AZ48" s="78">
        <v>0</v>
      </c>
      <c r="BA48" s="139"/>
      <c r="BB48" s="37"/>
      <c r="BC48" s="78">
        <v>0</v>
      </c>
      <c r="BD48" s="139"/>
      <c r="BE48" s="37"/>
      <c r="BF48" s="78">
        <v>0</v>
      </c>
      <c r="BG48" s="139"/>
      <c r="BH48" s="37"/>
      <c r="BI48" s="78">
        <v>0</v>
      </c>
      <c r="BJ48" s="139"/>
      <c r="BK48" s="37"/>
      <c r="BL48" s="78">
        <v>0</v>
      </c>
      <c r="BM48" s="139"/>
      <c r="BN48" s="37"/>
      <c r="BO48" s="78">
        <v>0</v>
      </c>
      <c r="BP48" s="119">
        <f>+Z48*AA48+AC48*AD48+AF48*AG48+AI48*AJ48+AL48*AM48+AO48*AP48++AR48*AS48+AU48*AV48+AX48*AY48+BA48*BB48+BD48*BE48+BG48*BH48+BJ48*BK48+BM48*BN48</f>
        <v>0</v>
      </c>
      <c r="BQ48" s="120">
        <f>+AB48+AE48+AH48+AK48+AN48+AQ48+AT48+AW48+AZ48+BC48+BF48+BI48+BL48+BO48</f>
        <v>0</v>
      </c>
      <c r="BR48" s="121">
        <f>+W48*X48-BP48</f>
        <v>0</v>
      </c>
      <c r="BS48" s="27">
        <f t="shared" si="82"/>
        <v>24424744</v>
      </c>
      <c r="BU48" s="171"/>
      <c r="BV48" s="199"/>
      <c r="BX48" s="173"/>
      <c r="BY48" s="177"/>
    </row>
    <row r="49" spans="1:76" ht="80.150000000000006" customHeight="1" x14ac:dyDescent="0.45">
      <c r="A49" s="136" t="str">
        <f>+'[1]ACTA 1'!B40</f>
        <v>Asesorías Especializadas (Hidráulicas, geotécnicas, suelos, pavimentos, estructurales, geológicas, o cualquier asesoría adicional) se paga contra factura</v>
      </c>
      <c r="B49" s="82" t="str">
        <f>+'[1]ACTA 1'!C40</f>
        <v>Estimado</v>
      </c>
      <c r="C49" s="30"/>
      <c r="D49" s="31"/>
      <c r="E49" s="31"/>
      <c r="F49" s="31"/>
      <c r="G49" s="32">
        <f>+'[1]ACTA 1'!H40</f>
        <v>13300000</v>
      </c>
      <c r="H49" s="82" t="s">
        <v>49</v>
      </c>
      <c r="I49" s="30"/>
      <c r="J49" s="31"/>
      <c r="K49" s="31"/>
      <c r="L49" s="31"/>
      <c r="M49" s="32">
        <v>0</v>
      </c>
      <c r="N49" s="82" t="s">
        <v>49</v>
      </c>
      <c r="O49" s="30"/>
      <c r="P49" s="31"/>
      <c r="Q49" s="31"/>
      <c r="R49" s="31"/>
      <c r="S49" s="32">
        <v>0</v>
      </c>
      <c r="T49" s="82" t="s">
        <v>49</v>
      </c>
      <c r="U49" s="30"/>
      <c r="V49" s="31"/>
      <c r="W49" s="31"/>
      <c r="X49" s="31"/>
      <c r="Y49" s="32">
        <f>+G49+M49+S49</f>
        <v>13300000</v>
      </c>
      <c r="Z49" s="160">
        <v>0</v>
      </c>
      <c r="AA49" s="31">
        <v>0</v>
      </c>
      <c r="AB49" s="78">
        <f t="shared" si="83"/>
        <v>0</v>
      </c>
      <c r="AC49" s="119"/>
      <c r="AD49" s="7"/>
      <c r="AE49" s="78">
        <v>0</v>
      </c>
      <c r="AF49" s="31"/>
      <c r="AG49" s="11"/>
      <c r="AH49" s="78">
        <v>0</v>
      </c>
      <c r="AI49" s="31"/>
      <c r="AJ49" s="11"/>
      <c r="AK49" s="78">
        <v>0</v>
      </c>
      <c r="AL49" s="7"/>
      <c r="AM49" s="38"/>
      <c r="AN49" s="78">
        <v>0</v>
      </c>
      <c r="AO49" s="139"/>
      <c r="AP49" s="37"/>
      <c r="AQ49" s="78">
        <v>0</v>
      </c>
      <c r="AR49" s="139"/>
      <c r="AS49" s="37"/>
      <c r="AT49" s="78">
        <v>0</v>
      </c>
      <c r="AU49" s="139"/>
      <c r="AV49" s="37"/>
      <c r="AW49" s="78">
        <v>0</v>
      </c>
      <c r="AX49" s="139"/>
      <c r="AY49" s="37"/>
      <c r="AZ49" s="78">
        <v>0</v>
      </c>
      <c r="BA49" s="139"/>
      <c r="BB49" s="37"/>
      <c r="BC49" s="78">
        <v>0</v>
      </c>
      <c r="BD49" s="139"/>
      <c r="BE49" s="37"/>
      <c r="BF49" s="78">
        <v>0</v>
      </c>
      <c r="BG49" s="139"/>
      <c r="BH49" s="37"/>
      <c r="BI49" s="78">
        <v>0</v>
      </c>
      <c r="BJ49" s="139"/>
      <c r="BK49" s="37"/>
      <c r="BL49" s="78">
        <v>0</v>
      </c>
      <c r="BM49" s="139"/>
      <c r="BN49" s="37"/>
      <c r="BO49" s="78">
        <v>0</v>
      </c>
      <c r="BP49" s="119">
        <f>+Z49*AA49+AC49*AD49+AF49*AG49+AI49*AJ49+AL49*AM49+AO49*AP49++AR49*AS49+AU49*AV49+AX49*AY49+BA49*BB49+BD49*BE49+BG49*BH49+BJ49*BK49+BM49*BN49</f>
        <v>0</v>
      </c>
      <c r="BQ49" s="120">
        <f>+AB49+AE49+AH49+AK49+AN49+AQ49+AT49+AW49+AZ49+BC49+BF49+BI49+BL49+BO49</f>
        <v>0</v>
      </c>
      <c r="BR49" s="121">
        <f>+W49*X49-BP49</f>
        <v>0</v>
      </c>
      <c r="BS49" s="27">
        <f t="shared" si="82"/>
        <v>13300000</v>
      </c>
      <c r="BU49" s="171"/>
      <c r="BV49" s="199"/>
      <c r="BX49" s="178"/>
    </row>
    <row r="50" spans="1:76" ht="64.5" customHeight="1" x14ac:dyDescent="0.45">
      <c r="A50" s="136" t="s">
        <v>80</v>
      </c>
      <c r="B50" s="82" t="str">
        <f>+'[1]ACTA 1'!C41</f>
        <v>Estimado</v>
      </c>
      <c r="C50" s="30"/>
      <c r="D50" s="31"/>
      <c r="E50" s="31"/>
      <c r="F50" s="31"/>
      <c r="G50" s="32">
        <v>14823500</v>
      </c>
      <c r="H50" s="82" t="s">
        <v>49</v>
      </c>
      <c r="I50" s="30"/>
      <c r="J50" s="31"/>
      <c r="K50" s="31"/>
      <c r="L50" s="31"/>
      <c r="M50" s="32">
        <v>0</v>
      </c>
      <c r="N50" s="82" t="s">
        <v>49</v>
      </c>
      <c r="O50" s="30"/>
      <c r="P50" s="31"/>
      <c r="Q50" s="31"/>
      <c r="R50" s="31"/>
      <c r="S50" s="32">
        <v>0</v>
      </c>
      <c r="T50" s="82" t="s">
        <v>49</v>
      </c>
      <c r="U50" s="30"/>
      <c r="V50" s="31"/>
      <c r="W50" s="31"/>
      <c r="X50" s="31"/>
      <c r="Y50" s="32">
        <f>+G50+M50+S50</f>
        <v>14823500</v>
      </c>
      <c r="Z50" s="160">
        <v>0</v>
      </c>
      <c r="AA50" s="31">
        <v>0</v>
      </c>
      <c r="AB50" s="78">
        <f t="shared" si="83"/>
        <v>0</v>
      </c>
      <c r="AC50" s="119"/>
      <c r="AD50" s="7"/>
      <c r="AE50" s="78">
        <v>0</v>
      </c>
      <c r="AF50" s="31"/>
      <c r="AG50" s="11"/>
      <c r="AH50" s="78">
        <v>0</v>
      </c>
      <c r="AI50" s="31"/>
      <c r="AJ50" s="11"/>
      <c r="AK50" s="78">
        <v>0</v>
      </c>
      <c r="AL50" s="7"/>
      <c r="AM50" s="38"/>
      <c r="AN50" s="78">
        <v>0</v>
      </c>
      <c r="AO50" s="139"/>
      <c r="AP50" s="37"/>
      <c r="AQ50" s="78">
        <v>0</v>
      </c>
      <c r="AR50" s="139"/>
      <c r="AS50" s="37"/>
      <c r="AT50" s="78">
        <v>500000</v>
      </c>
      <c r="AU50" s="139"/>
      <c r="AV50" s="37"/>
      <c r="AW50" s="78">
        <v>0</v>
      </c>
      <c r="AX50" s="139"/>
      <c r="AY50" s="37"/>
      <c r="AZ50" s="78">
        <v>100000</v>
      </c>
      <c r="BA50" s="139"/>
      <c r="BB50" s="37"/>
      <c r="BC50" s="78">
        <v>0</v>
      </c>
      <c r="BD50" s="139"/>
      <c r="BE50" s="37"/>
      <c r="BF50" s="78">
        <v>0</v>
      </c>
      <c r="BG50" s="139"/>
      <c r="BH50" s="37"/>
      <c r="BI50" s="78">
        <v>0</v>
      </c>
      <c r="BJ50" s="139"/>
      <c r="BK50" s="37"/>
      <c r="BL50" s="78">
        <v>0</v>
      </c>
      <c r="BM50" s="139"/>
      <c r="BN50" s="37"/>
      <c r="BO50" s="78">
        <v>0</v>
      </c>
      <c r="BP50" s="119">
        <v>0.04</v>
      </c>
      <c r="BQ50" s="120">
        <f>+AB50+AE50+AH50+AK50+AN50+AQ50+AT50+AW50+AZ50+BC50+BF50+BI50+BL50+BO50</f>
        <v>600000</v>
      </c>
      <c r="BR50" s="121">
        <f>+W50*X50-BP50</f>
        <v>-0.04</v>
      </c>
      <c r="BS50" s="27">
        <f t="shared" si="82"/>
        <v>14223500</v>
      </c>
      <c r="BU50" s="171"/>
      <c r="BV50" s="199"/>
      <c r="BX50" s="173"/>
    </row>
    <row r="51" spans="1:76" ht="44.25" customHeight="1" x14ac:dyDescent="0.45">
      <c r="A51" s="268" t="s">
        <v>81</v>
      </c>
      <c r="B51" s="269"/>
      <c r="C51" s="269"/>
      <c r="D51" s="269"/>
      <c r="E51" s="269"/>
      <c r="F51" s="270"/>
      <c r="G51" s="85">
        <f>+SUM(G39:G50)</f>
        <v>318110744</v>
      </c>
      <c r="H51" s="86"/>
      <c r="I51" s="68"/>
      <c r="J51" s="68"/>
      <c r="K51" s="68"/>
      <c r="L51" s="68"/>
      <c r="M51" s="85">
        <f>+SUM(M39:M50)</f>
        <v>0</v>
      </c>
      <c r="N51" s="86"/>
      <c r="O51" s="68"/>
      <c r="P51" s="68"/>
      <c r="Q51" s="68"/>
      <c r="R51" s="68"/>
      <c r="S51" s="85">
        <f>+SUM(S39:S50)</f>
        <v>0</v>
      </c>
      <c r="T51" s="86"/>
      <c r="U51" s="68"/>
      <c r="V51" s="68"/>
      <c r="W51" s="68"/>
      <c r="X51" s="68"/>
      <c r="Y51" s="85">
        <f>+SUM(Y39:Y50)</f>
        <v>318110744</v>
      </c>
      <c r="Z51" s="86"/>
      <c r="AA51" s="36"/>
      <c r="AB51" s="85">
        <f>+SUM(AB39:AB50)</f>
        <v>750000</v>
      </c>
      <c r="AC51" s="84"/>
      <c r="AD51" s="36"/>
      <c r="AE51" s="85">
        <f>+SUM(AE39:AE50)</f>
        <v>1500000</v>
      </c>
      <c r="AF51" s="68"/>
      <c r="AG51" s="36"/>
      <c r="AH51" s="85">
        <f>+SUM(AH39:AH50)</f>
        <v>2560000</v>
      </c>
      <c r="AI51" s="36"/>
      <c r="AJ51" s="36"/>
      <c r="AK51" s="85">
        <f>+SUM(AK39:AK50)</f>
        <v>349950</v>
      </c>
      <c r="AL51" s="68"/>
      <c r="AM51" s="36"/>
      <c r="AN51" s="85">
        <f>+SUM(AN39:AN50)</f>
        <v>2685000</v>
      </c>
      <c r="AO51" s="145"/>
      <c r="AP51" s="36"/>
      <c r="AQ51" s="85">
        <f>+SUM(AQ39:AQ50)</f>
        <v>2800000</v>
      </c>
      <c r="AR51" s="145"/>
      <c r="AS51" s="36"/>
      <c r="AT51" s="85">
        <f>+SUM(AT39:AT50)</f>
        <v>3550000</v>
      </c>
      <c r="AU51" s="145"/>
      <c r="AV51" s="36"/>
      <c r="AW51" s="85">
        <f t="shared" ref="AW51" si="84">+SUM(AW39:AW50)</f>
        <v>1721000</v>
      </c>
      <c r="AX51" s="145"/>
      <c r="AY51" s="36"/>
      <c r="AZ51" s="85">
        <f t="shared" ref="AZ51" si="85">+SUM(AZ39:AZ50)</f>
        <v>3344333</v>
      </c>
      <c r="BA51" s="145"/>
      <c r="BB51" s="36"/>
      <c r="BC51" s="85">
        <f t="shared" ref="BC51" si="86">+SUM(BC39:BC50)</f>
        <v>35352500</v>
      </c>
      <c r="BD51" s="145"/>
      <c r="BE51" s="36"/>
      <c r="BF51" s="85">
        <f t="shared" ref="BF51" si="87">+SUM(BF39:BF50)</f>
        <v>36102500</v>
      </c>
      <c r="BG51" s="145"/>
      <c r="BH51" s="36"/>
      <c r="BI51" s="85">
        <f t="shared" ref="BI51" si="88">+SUM(BI39:BI50)</f>
        <v>18131500</v>
      </c>
      <c r="BJ51" s="145"/>
      <c r="BK51" s="36"/>
      <c r="BL51" s="85">
        <f t="shared" ref="BL51" si="89">+SUM(BL39:BL50)</f>
        <v>0</v>
      </c>
      <c r="BM51" s="145"/>
      <c r="BN51" s="36"/>
      <c r="BO51" s="85">
        <f t="shared" ref="BO51" si="90">+SUM(BO39:BO50)</f>
        <v>0</v>
      </c>
      <c r="BP51" s="119"/>
      <c r="BQ51" s="39">
        <f>+AB51+AE51+AH51+AK51+AN51+AQ51+AT51+AW51+AZ51+BC51+BF51+BI51+BL51+BO51</f>
        <v>108846783</v>
      </c>
      <c r="BR51" s="40"/>
      <c r="BS51" s="41">
        <f t="shared" si="82"/>
        <v>209263961</v>
      </c>
      <c r="BU51" s="171"/>
      <c r="BV51" s="199"/>
      <c r="BX51" s="29"/>
    </row>
    <row r="52" spans="1:76" ht="12.75" customHeight="1" x14ac:dyDescent="0.45">
      <c r="A52" s="271"/>
      <c r="B52" s="272"/>
      <c r="C52" s="272"/>
      <c r="D52" s="272"/>
      <c r="E52" s="272"/>
      <c r="F52" s="273"/>
      <c r="G52" s="85"/>
      <c r="H52" s="86"/>
      <c r="I52" s="68"/>
      <c r="J52" s="68"/>
      <c r="K52" s="68"/>
      <c r="L52" s="68"/>
      <c r="M52" s="85"/>
      <c r="N52" s="86"/>
      <c r="O52" s="68"/>
      <c r="P52" s="68"/>
      <c r="Q52" s="68"/>
      <c r="R52" s="68"/>
      <c r="S52" s="85"/>
      <c r="T52" s="86"/>
      <c r="U52" s="68"/>
      <c r="V52" s="144"/>
      <c r="W52" s="36"/>
      <c r="X52" s="36"/>
      <c r="Y52" s="39"/>
      <c r="Z52" s="86"/>
      <c r="AA52" s="36"/>
      <c r="AB52" s="85"/>
      <c r="AC52" s="84"/>
      <c r="AD52" s="36"/>
      <c r="AE52" s="85"/>
      <c r="AF52" s="68"/>
      <c r="AG52" s="36"/>
      <c r="AH52" s="85"/>
      <c r="AI52" s="68"/>
      <c r="AJ52" s="36"/>
      <c r="AK52" s="85"/>
      <c r="AL52" s="68"/>
      <c r="AM52" s="36"/>
      <c r="AN52" s="85"/>
      <c r="AO52" s="145"/>
      <c r="AP52" s="36"/>
      <c r="AQ52" s="85"/>
      <c r="AR52" s="145"/>
      <c r="AS52" s="36"/>
      <c r="AT52" s="85"/>
      <c r="AU52" s="145"/>
      <c r="AV52" s="36"/>
      <c r="AW52" s="85"/>
      <c r="AX52" s="145"/>
      <c r="AY52" s="36"/>
      <c r="AZ52" s="85"/>
      <c r="BA52" s="145"/>
      <c r="BB52" s="36"/>
      <c r="BC52" s="85"/>
      <c r="BD52" s="145"/>
      <c r="BE52" s="36"/>
      <c r="BF52" s="85"/>
      <c r="BG52" s="145"/>
      <c r="BH52" s="36"/>
      <c r="BI52" s="85"/>
      <c r="BJ52" s="145"/>
      <c r="BK52" s="36"/>
      <c r="BL52" s="85"/>
      <c r="BM52" s="145"/>
      <c r="BN52" s="36"/>
      <c r="BO52" s="85"/>
      <c r="BP52" s="84"/>
      <c r="BQ52" s="85"/>
      <c r="BR52" s="40"/>
      <c r="BS52" s="85">
        <f t="shared" si="82"/>
        <v>0</v>
      </c>
      <c r="BU52" s="171"/>
      <c r="BV52" s="199"/>
    </row>
    <row r="53" spans="1:76" ht="42.75" customHeight="1" x14ac:dyDescent="0.45">
      <c r="A53" s="268" t="s">
        <v>50</v>
      </c>
      <c r="B53" s="269"/>
      <c r="C53" s="269"/>
      <c r="D53" s="269"/>
      <c r="E53" s="269"/>
      <c r="F53" s="270"/>
      <c r="G53" s="85">
        <f>+G34+G51</f>
        <v>1286985744</v>
      </c>
      <c r="H53" s="86"/>
      <c r="I53" s="68"/>
      <c r="J53" s="68"/>
      <c r="K53" s="68"/>
      <c r="L53" s="68"/>
      <c r="M53" s="85">
        <f>+M34+M51</f>
        <v>0</v>
      </c>
      <c r="N53" s="86"/>
      <c r="O53" s="68"/>
      <c r="P53" s="68"/>
      <c r="Q53" s="68"/>
      <c r="R53" s="68"/>
      <c r="S53" s="85">
        <f>+S34+S51</f>
        <v>0</v>
      </c>
      <c r="T53" s="86"/>
      <c r="U53" s="68"/>
      <c r="V53" s="144"/>
      <c r="W53" s="36"/>
      <c r="X53" s="36"/>
      <c r="Y53" s="85">
        <f>+Y34+Y51</f>
        <v>1286985744</v>
      </c>
      <c r="Z53" s="86"/>
      <c r="AA53" s="36"/>
      <c r="AB53" s="85">
        <f>+AB34+AB51</f>
        <v>24562940</v>
      </c>
      <c r="AC53" s="84"/>
      <c r="AD53" s="36"/>
      <c r="AE53" s="85">
        <f>+AE34+AE51</f>
        <v>50945000</v>
      </c>
      <c r="AF53" s="68"/>
      <c r="AG53" s="36"/>
      <c r="AH53" s="85">
        <f>+AH34+AH51</f>
        <v>50205000</v>
      </c>
      <c r="AI53" s="68"/>
      <c r="AJ53" s="36"/>
      <c r="AK53" s="85">
        <f>+AK34+AK51</f>
        <v>11348879</v>
      </c>
      <c r="AL53" s="68"/>
      <c r="AM53" s="36"/>
      <c r="AN53" s="85">
        <f>+AN34+AN51</f>
        <v>17988026</v>
      </c>
      <c r="AO53" s="145"/>
      <c r="AP53" s="36"/>
      <c r="AQ53" s="85">
        <f>+AQ34+AQ51</f>
        <v>42255000</v>
      </c>
      <c r="AR53" s="145"/>
      <c r="AS53" s="36"/>
      <c r="AT53" s="85">
        <f>+AT34+AT51</f>
        <v>45735000</v>
      </c>
      <c r="AU53" s="145"/>
      <c r="AV53" s="36"/>
      <c r="AW53" s="85">
        <f t="shared" ref="AW53" si="91">+AW34+AW51</f>
        <v>9894700</v>
      </c>
      <c r="AX53" s="145"/>
      <c r="AY53" s="36"/>
      <c r="AZ53" s="85">
        <f t="shared" ref="AZ53" si="92">+AZ34+AZ51</f>
        <v>35844333</v>
      </c>
      <c r="BA53" s="145"/>
      <c r="BB53" s="36"/>
      <c r="BC53" s="85">
        <f t="shared" ref="BC53" si="93">+BC34+BC51</f>
        <v>68177501</v>
      </c>
      <c r="BD53" s="145"/>
      <c r="BE53" s="36"/>
      <c r="BF53" s="85">
        <f t="shared" ref="BF53" si="94">+BF34+BF51</f>
        <v>83935499</v>
      </c>
      <c r="BG53" s="145"/>
      <c r="BH53" s="36"/>
      <c r="BI53" s="85">
        <f t="shared" ref="BI53" si="95">+BI34+BI51</f>
        <v>42402000</v>
      </c>
      <c r="BJ53" s="145"/>
      <c r="BK53" s="36"/>
      <c r="BL53" s="85">
        <f t="shared" ref="BL53" si="96">+BL34+BL51</f>
        <v>0</v>
      </c>
      <c r="BM53" s="145"/>
      <c r="BN53" s="36"/>
      <c r="BO53" s="85">
        <f t="shared" ref="BO53" si="97">+BO34+BO51</f>
        <v>0</v>
      </c>
      <c r="BP53" s="84"/>
      <c r="BQ53" s="85">
        <f>+AB53+AE53+AH53+AK53+AN53+AQ53+AT53+AW53+AZ53+BC53+BF53+BI53+BL53+BO53</f>
        <v>483293878</v>
      </c>
      <c r="BR53" s="40"/>
      <c r="BS53" s="85">
        <f t="shared" si="82"/>
        <v>803691866</v>
      </c>
      <c r="BU53" s="171"/>
      <c r="BV53" s="199"/>
    </row>
    <row r="54" spans="1:76" ht="29.25" customHeight="1" x14ac:dyDescent="0.45">
      <c r="A54" s="268" t="s">
        <v>51</v>
      </c>
      <c r="B54" s="269"/>
      <c r="C54" s="269"/>
      <c r="D54" s="269"/>
      <c r="E54" s="269"/>
      <c r="F54" s="270"/>
      <c r="G54" s="85">
        <f>ROUND(G53*0.19,0)</f>
        <v>244527291</v>
      </c>
      <c r="H54" s="86"/>
      <c r="I54" s="68"/>
      <c r="J54" s="68"/>
      <c r="K54" s="68"/>
      <c r="L54" s="68"/>
      <c r="M54" s="85">
        <f>ROUND(M53*0.19,0)</f>
        <v>0</v>
      </c>
      <c r="N54" s="86"/>
      <c r="O54" s="68"/>
      <c r="P54" s="68"/>
      <c r="Q54" s="68"/>
      <c r="R54" s="68"/>
      <c r="S54" s="85">
        <f>ROUND(S53*0.19,0)</f>
        <v>0</v>
      </c>
      <c r="T54" s="86"/>
      <c r="U54" s="68"/>
      <c r="V54" s="144"/>
      <c r="W54" s="36"/>
      <c r="X54" s="36"/>
      <c r="Y54" s="85">
        <f>ROUND(Y53*0.19,0)</f>
        <v>244527291</v>
      </c>
      <c r="Z54" s="86"/>
      <c r="AA54" s="36"/>
      <c r="AB54" s="85">
        <f>ROUND(AB53*0.19,0)</f>
        <v>4666959</v>
      </c>
      <c r="AC54" s="84"/>
      <c r="AD54" s="36"/>
      <c r="AE54" s="85">
        <f>ROUND(AE53*0.19,0)</f>
        <v>9679550</v>
      </c>
      <c r="AF54" s="68"/>
      <c r="AG54" s="36"/>
      <c r="AH54" s="85">
        <f>ROUND(AH53*0.19,0)</f>
        <v>9538950</v>
      </c>
      <c r="AI54" s="68"/>
      <c r="AJ54" s="36"/>
      <c r="AK54" s="85">
        <f>ROUND(AK53*0.19,0)</f>
        <v>2156287</v>
      </c>
      <c r="AL54" s="68"/>
      <c r="AM54" s="36"/>
      <c r="AN54" s="85">
        <f>ROUND(AN53*0.19,0)</f>
        <v>3417725</v>
      </c>
      <c r="AO54" s="145"/>
      <c r="AP54" s="36"/>
      <c r="AQ54" s="85">
        <f>ROUND(AQ53*0.19,0)</f>
        <v>8028450</v>
      </c>
      <c r="AR54" s="68"/>
      <c r="AS54" s="36"/>
      <c r="AT54" s="85">
        <f>ROUND(AT53*0.19,0)</f>
        <v>8689650</v>
      </c>
      <c r="AU54" s="68"/>
      <c r="AV54" s="36"/>
      <c r="AW54" s="85">
        <f t="shared" ref="AW54" si="98">ROUND(AW53*0.19,0)</f>
        <v>1879993</v>
      </c>
      <c r="AX54" s="68"/>
      <c r="AY54" s="36"/>
      <c r="AZ54" s="85">
        <f t="shared" ref="AZ54" si="99">ROUND(AZ53*0.19,0)</f>
        <v>6810423</v>
      </c>
      <c r="BA54" s="68"/>
      <c r="BB54" s="36"/>
      <c r="BC54" s="85">
        <f t="shared" ref="BC54" si="100">ROUND(BC53*0.19,0)</f>
        <v>12953725</v>
      </c>
      <c r="BD54" s="68"/>
      <c r="BE54" s="36"/>
      <c r="BF54" s="85">
        <f t="shared" ref="BF54" si="101">ROUND(BF53*0.19,0)</f>
        <v>15947745</v>
      </c>
      <c r="BG54" s="68"/>
      <c r="BH54" s="36"/>
      <c r="BI54" s="85">
        <f t="shared" ref="BI54" si="102">ROUND(BI53*0.19,0)</f>
        <v>8056380</v>
      </c>
      <c r="BJ54" s="68"/>
      <c r="BK54" s="36"/>
      <c r="BL54" s="85">
        <f t="shared" ref="BL54" si="103">ROUND(BL53*0.19,0)</f>
        <v>0</v>
      </c>
      <c r="BM54" s="68"/>
      <c r="BN54" s="36"/>
      <c r="BO54" s="85">
        <f t="shared" ref="BO54" si="104">ROUND(BO53*0.19,0)</f>
        <v>0</v>
      </c>
      <c r="BP54" s="84"/>
      <c r="BQ54" s="85">
        <f>+AB54+AE54+AH54+AK54+AN54+AQ54+AT54+AW54+AZ54+BC54+BF54+BI54+BL54+BO54</f>
        <v>91825837</v>
      </c>
      <c r="BR54" s="40"/>
      <c r="BS54" s="85">
        <f t="shared" si="82"/>
        <v>152701454</v>
      </c>
      <c r="BU54" s="171"/>
      <c r="BV54" s="199"/>
      <c r="BX54" s="29"/>
    </row>
    <row r="55" spans="1:76" ht="42.75" customHeight="1" thickBot="1" x14ac:dyDescent="0.5">
      <c r="A55" s="263" t="s">
        <v>52</v>
      </c>
      <c r="B55" s="264"/>
      <c r="C55" s="264"/>
      <c r="D55" s="264"/>
      <c r="E55" s="264"/>
      <c r="F55" s="265"/>
      <c r="G55" s="90">
        <f>+G53+G54</f>
        <v>1531513035</v>
      </c>
      <c r="H55" s="87"/>
      <c r="I55" s="89"/>
      <c r="J55" s="89"/>
      <c r="K55" s="89"/>
      <c r="L55" s="89"/>
      <c r="M55" s="90">
        <f>+M53+M54</f>
        <v>0</v>
      </c>
      <c r="N55" s="87"/>
      <c r="O55" s="89"/>
      <c r="P55" s="89"/>
      <c r="Q55" s="89"/>
      <c r="R55" s="89"/>
      <c r="S55" s="90">
        <f>+S53+S54</f>
        <v>0</v>
      </c>
      <c r="T55" s="87"/>
      <c r="U55" s="89"/>
      <c r="V55" s="146"/>
      <c r="W55" s="42"/>
      <c r="X55" s="42"/>
      <c r="Y55" s="90">
        <f>+Y53+Y54</f>
        <v>1531513035</v>
      </c>
      <c r="Z55" s="87"/>
      <c r="AA55" s="42"/>
      <c r="AB55" s="90">
        <f>+AB53+AB54</f>
        <v>29229899</v>
      </c>
      <c r="AC55" s="88"/>
      <c r="AD55" s="42"/>
      <c r="AE55" s="90">
        <f>+AE53+AE54</f>
        <v>60624550</v>
      </c>
      <c r="AF55" s="89"/>
      <c r="AG55" s="42"/>
      <c r="AH55" s="90">
        <f>+AH53+AH54</f>
        <v>59743950</v>
      </c>
      <c r="AI55" s="89"/>
      <c r="AJ55" s="42"/>
      <c r="AK55" s="90">
        <f>+AK53+AK54</f>
        <v>13505166</v>
      </c>
      <c r="AL55" s="89"/>
      <c r="AM55" s="42"/>
      <c r="AN55" s="90">
        <f>+AN53+AN54</f>
        <v>21405751</v>
      </c>
      <c r="AO55" s="147"/>
      <c r="AP55" s="42"/>
      <c r="AQ55" s="90">
        <f>+AQ53+AQ54</f>
        <v>50283450</v>
      </c>
      <c r="AR55" s="89"/>
      <c r="AS55" s="42"/>
      <c r="AT55" s="90">
        <f>+AT53+AT54</f>
        <v>54424650</v>
      </c>
      <c r="AU55" s="89"/>
      <c r="AV55" s="42"/>
      <c r="AW55" s="90">
        <f t="shared" ref="AW55" si="105">+AW53+AW54</f>
        <v>11774693</v>
      </c>
      <c r="AX55" s="89"/>
      <c r="AY55" s="42"/>
      <c r="AZ55" s="90">
        <f t="shared" ref="AZ55" si="106">+AZ53+AZ54</f>
        <v>42654756</v>
      </c>
      <c r="BA55" s="89"/>
      <c r="BB55" s="42"/>
      <c r="BC55" s="90">
        <f t="shared" ref="BC55" si="107">+BC53+BC54</f>
        <v>81131226</v>
      </c>
      <c r="BD55" s="89"/>
      <c r="BE55" s="42"/>
      <c r="BF55" s="90">
        <f t="shared" ref="BF55" si="108">+BF53+BF54</f>
        <v>99883244</v>
      </c>
      <c r="BG55" s="89"/>
      <c r="BH55" s="42"/>
      <c r="BI55" s="90">
        <f t="shared" ref="BI55" si="109">+BI53+BI54</f>
        <v>50458380</v>
      </c>
      <c r="BJ55" s="89"/>
      <c r="BK55" s="42"/>
      <c r="BL55" s="90">
        <f t="shared" ref="BL55" si="110">+BL53+BL54</f>
        <v>0</v>
      </c>
      <c r="BM55" s="89"/>
      <c r="BN55" s="42"/>
      <c r="BO55" s="90">
        <f t="shared" ref="BO55" si="111">+BO53+BO54</f>
        <v>0</v>
      </c>
      <c r="BP55" s="88"/>
      <c r="BQ55" s="90">
        <f>+AB55+AE55+AH55+AK55+AN55+AQ55+AT55+AW55+AZ55+BC55+BF55+BI55+BL55+BO55</f>
        <v>575119715</v>
      </c>
      <c r="BR55" s="163"/>
      <c r="BS55" s="90">
        <f t="shared" si="82"/>
        <v>956393320</v>
      </c>
      <c r="BU55" s="171"/>
      <c r="BV55" s="199"/>
      <c r="BX55" s="29"/>
    </row>
    <row r="56" spans="1:76" ht="27.5" x14ac:dyDescent="0.55000000000000004">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X56" s="29"/>
    </row>
    <row r="57" spans="1:76" ht="35.25" customHeight="1" x14ac:dyDescent="0.55000000000000004">
      <c r="A57" s="260" t="s">
        <v>53</v>
      </c>
      <c r="B57" s="261"/>
      <c r="C57" s="261"/>
      <c r="D57" s="261"/>
      <c r="E57" s="261"/>
      <c r="F57" s="262"/>
      <c r="G57" s="138">
        <f>+G53*0</f>
        <v>0</v>
      </c>
      <c r="H57" s="91"/>
      <c r="I57" s="43"/>
      <c r="J57" s="43"/>
      <c r="K57" s="43"/>
      <c r="L57" s="43"/>
      <c r="M57" s="138">
        <f>+M53*0</f>
        <v>0</v>
      </c>
      <c r="N57" s="91"/>
      <c r="O57" s="43"/>
      <c r="P57" s="43"/>
      <c r="Q57" s="43"/>
      <c r="R57" s="43"/>
      <c r="S57" s="138">
        <f>+S53*0</f>
        <v>0</v>
      </c>
      <c r="T57" s="43"/>
      <c r="U57" s="43"/>
      <c r="V57" s="43"/>
      <c r="W57" s="43"/>
      <c r="X57" s="43"/>
      <c r="Y57" s="138">
        <f>+Y53*0</f>
        <v>0</v>
      </c>
      <c r="Z57" s="43"/>
      <c r="AA57" s="43"/>
      <c r="AB57" s="138">
        <f>AB53*0</f>
        <v>0</v>
      </c>
      <c r="AC57" s="43"/>
      <c r="AD57" s="43"/>
      <c r="AE57" s="138">
        <f>AE53*0</f>
        <v>0</v>
      </c>
      <c r="AF57" s="43"/>
      <c r="AG57" s="43"/>
      <c r="AH57" s="138">
        <f>AH53*0</f>
        <v>0</v>
      </c>
      <c r="AI57" s="43"/>
      <c r="AJ57" s="43"/>
      <c r="AK57" s="138">
        <f>AK53*0</f>
        <v>0</v>
      </c>
      <c r="AL57" s="43"/>
      <c r="AM57" s="43"/>
      <c r="AN57" s="138">
        <f>AN53*0</f>
        <v>0</v>
      </c>
      <c r="AO57" s="43"/>
      <c r="AP57" s="43"/>
      <c r="AQ57" s="138">
        <f>AQ53*0</f>
        <v>0</v>
      </c>
      <c r="AR57" s="43"/>
      <c r="AS57" s="43"/>
      <c r="AT57" s="138">
        <f>AT53*0</f>
        <v>0</v>
      </c>
      <c r="AU57" s="43"/>
      <c r="AV57" s="43"/>
      <c r="AW57" s="138">
        <f t="shared" ref="AW57" si="112">AW53*0</f>
        <v>0</v>
      </c>
      <c r="AX57" s="43"/>
      <c r="AY57" s="43"/>
      <c r="AZ57" s="138">
        <f t="shared" ref="AZ57" si="113">AZ53*0</f>
        <v>0</v>
      </c>
      <c r="BA57" s="43"/>
      <c r="BB57" s="43"/>
      <c r="BC57" s="138">
        <f t="shared" ref="BC57" si="114">BC53*0</f>
        <v>0</v>
      </c>
      <c r="BD57" s="43"/>
      <c r="BE57" s="43"/>
      <c r="BF57" s="138">
        <f t="shared" ref="BF57" si="115">BF53*0</f>
        <v>0</v>
      </c>
      <c r="BG57" s="43"/>
      <c r="BH57" s="43"/>
      <c r="BI57" s="138">
        <f t="shared" ref="BI57" si="116">BI53*0</f>
        <v>0</v>
      </c>
      <c r="BJ57" s="43"/>
      <c r="BK57" s="43"/>
      <c r="BL57" s="138">
        <f t="shared" ref="BL57" si="117">BL53*0</f>
        <v>0</v>
      </c>
      <c r="BM57" s="43"/>
      <c r="BN57" s="43"/>
      <c r="BO57" s="138">
        <f t="shared" ref="BO57" si="118">BO53*0</f>
        <v>0</v>
      </c>
      <c r="BP57" s="43"/>
      <c r="BQ57" s="138">
        <f>+AB57+AE57+AH57+AK57+AN57+AQ57+AT57+AW57+AZ57+BC57+BF57+BI57+BL57+BO57</f>
        <v>0</v>
      </c>
      <c r="BR57" s="43"/>
      <c r="BS57" s="138">
        <f>+Y57-BQ57</f>
        <v>0</v>
      </c>
      <c r="BX57" s="29"/>
    </row>
    <row r="58" spans="1:76" ht="35.25" customHeight="1" x14ac:dyDescent="0.6">
      <c r="A58" s="260" t="s">
        <v>63</v>
      </c>
      <c r="B58" s="261"/>
      <c r="C58" s="261"/>
      <c r="D58" s="261"/>
      <c r="E58" s="261"/>
      <c r="F58" s="262"/>
      <c r="G58" s="44">
        <f>+G55-G57</f>
        <v>1531513035</v>
      </c>
      <c r="H58" s="43"/>
      <c r="I58" s="43"/>
      <c r="J58" s="43"/>
      <c r="K58" s="43"/>
      <c r="L58" s="43"/>
      <c r="M58" s="44">
        <f>+M55-M57</f>
        <v>0</v>
      </c>
      <c r="N58" s="43"/>
      <c r="O58" s="43"/>
      <c r="P58" s="43"/>
      <c r="Q58" s="43"/>
      <c r="R58" s="43"/>
      <c r="S58" s="44">
        <f>+S55-S57</f>
        <v>0</v>
      </c>
      <c r="T58" s="43"/>
      <c r="U58" s="43"/>
      <c r="V58" s="43"/>
      <c r="W58" s="43"/>
      <c r="X58" s="43"/>
      <c r="Y58" s="44">
        <f>+Y55-Y57</f>
        <v>1531513035</v>
      </c>
      <c r="Z58" s="43"/>
      <c r="AA58" s="43"/>
      <c r="AB58" s="138">
        <f>+AB55-AB57</f>
        <v>29229899</v>
      </c>
      <c r="AC58" s="43"/>
      <c r="AD58" s="43"/>
      <c r="AE58" s="138">
        <f>+AE55-AE57</f>
        <v>60624550</v>
      </c>
      <c r="AF58" s="43"/>
      <c r="AG58" s="43"/>
      <c r="AH58" s="138">
        <f>+AH55-AH57</f>
        <v>59743950</v>
      </c>
      <c r="AI58" s="43"/>
      <c r="AJ58" s="43"/>
      <c r="AK58" s="138">
        <f>+AK55-AK57</f>
        <v>13505166</v>
      </c>
      <c r="AL58" s="43"/>
      <c r="AM58" s="43"/>
      <c r="AN58" s="138">
        <f>+AN55-AN57</f>
        <v>21405751</v>
      </c>
      <c r="AO58" s="43"/>
      <c r="AP58" s="43"/>
      <c r="AQ58" s="138">
        <f>+AQ55-AQ57</f>
        <v>50283450</v>
      </c>
      <c r="AR58" s="43"/>
      <c r="AS58" s="43"/>
      <c r="AT58" s="138">
        <f>+AT55-AT57</f>
        <v>54424650</v>
      </c>
      <c r="AU58" s="43"/>
      <c r="AV58" s="43"/>
      <c r="AW58" s="138">
        <f t="shared" ref="AW58" si="119">+AW55-AW57</f>
        <v>11774693</v>
      </c>
      <c r="AX58" s="43"/>
      <c r="AY58" s="43"/>
      <c r="AZ58" s="138">
        <f t="shared" ref="AZ58" si="120">+AZ55-AZ57</f>
        <v>42654756</v>
      </c>
      <c r="BA58" s="43"/>
      <c r="BB58" s="43"/>
      <c r="BC58" s="138">
        <f t="shared" ref="BC58" si="121">+BC55-BC57</f>
        <v>81131226</v>
      </c>
      <c r="BD58" s="43"/>
      <c r="BE58" s="43"/>
      <c r="BF58" s="138">
        <f t="shared" ref="BF58" si="122">+BF55-BF57</f>
        <v>99883244</v>
      </c>
      <c r="BG58" s="43"/>
      <c r="BH58" s="43"/>
      <c r="BI58" s="138">
        <f t="shared" ref="BI58" si="123">+BI55-BI57</f>
        <v>50458380</v>
      </c>
      <c r="BJ58" s="43"/>
      <c r="BK58" s="43"/>
      <c r="BL58" s="138">
        <f t="shared" ref="BL58" si="124">+BL55-BL57</f>
        <v>0</v>
      </c>
      <c r="BM58" s="43"/>
      <c r="BN58" s="43"/>
      <c r="BO58" s="138">
        <f t="shared" ref="BO58" si="125">+BO55-BO57</f>
        <v>0</v>
      </c>
      <c r="BP58" s="43"/>
      <c r="BQ58" s="138">
        <f>+AB58+AE58+AH58+AK58+AN58+AQ58+AT58+AW58+AZ58+BC58+BF58+BI58+BL58+BO58</f>
        <v>575119715</v>
      </c>
      <c r="BR58" s="43"/>
      <c r="BS58" s="138">
        <f>+Y58-BQ58</f>
        <v>956393320</v>
      </c>
      <c r="BU58" s="29">
        <f>+BS58-BQ58</f>
        <v>381273605</v>
      </c>
    </row>
    <row r="59" spans="1:76" ht="27.75" customHeight="1" x14ac:dyDescent="0.5">
      <c r="A59" s="45"/>
      <c r="B59" s="46"/>
      <c r="C59" s="47"/>
      <c r="D59" s="47"/>
      <c r="E59" s="47"/>
      <c r="F59" s="47"/>
      <c r="G59" s="48"/>
      <c r="H59" s="47"/>
      <c r="I59" s="47"/>
      <c r="J59" s="47"/>
      <c r="K59" s="47"/>
      <c r="L59" s="47"/>
      <c r="M59" s="47"/>
      <c r="N59" s="47"/>
      <c r="O59" s="47"/>
      <c r="P59" s="47"/>
      <c r="Q59" s="47"/>
      <c r="R59" s="47"/>
      <c r="S59" s="47"/>
      <c r="T59" s="47"/>
      <c r="U59" s="47"/>
      <c r="V59" s="47"/>
      <c r="W59" s="47"/>
      <c r="X59" s="47"/>
      <c r="Y59" s="48"/>
      <c r="Z59" s="47"/>
      <c r="AA59" s="47"/>
      <c r="AB59" s="49"/>
      <c r="AC59" s="47"/>
      <c r="AD59" s="47"/>
      <c r="AE59" s="49"/>
      <c r="AF59" s="47"/>
      <c r="AG59" s="47"/>
      <c r="AH59" s="49"/>
      <c r="AI59" s="47"/>
      <c r="AJ59" s="47"/>
      <c r="AK59" s="49"/>
      <c r="AL59" s="47"/>
      <c r="AM59" s="47"/>
      <c r="AN59" s="49"/>
      <c r="AO59" s="47"/>
      <c r="AP59" s="47"/>
      <c r="AQ59" s="49"/>
      <c r="AR59" s="47"/>
      <c r="AS59" s="47"/>
      <c r="AT59" s="49"/>
      <c r="AU59" s="47"/>
      <c r="AV59" s="47"/>
      <c r="AW59" s="49"/>
      <c r="AX59" s="47"/>
      <c r="AY59" s="47"/>
      <c r="AZ59" s="49"/>
      <c r="BA59" s="47"/>
      <c r="BB59" s="47"/>
      <c r="BC59" s="49"/>
      <c r="BD59" s="47"/>
      <c r="BE59" s="47"/>
      <c r="BF59" s="49"/>
      <c r="BG59" s="47"/>
      <c r="BH59" s="47"/>
      <c r="BI59" s="49"/>
      <c r="BJ59" s="47"/>
      <c r="BK59" s="47"/>
      <c r="BL59" s="49"/>
      <c r="BM59" s="47"/>
      <c r="BN59" s="47"/>
      <c r="BO59" s="49"/>
      <c r="BP59" s="47"/>
      <c r="BQ59" s="49"/>
      <c r="BR59" s="47"/>
      <c r="BS59" s="49"/>
    </row>
    <row r="60" spans="1:76" ht="27.75" customHeight="1" x14ac:dyDescent="0.5">
      <c r="A60" s="45"/>
      <c r="B60" s="46"/>
      <c r="C60" s="47"/>
      <c r="D60" s="47"/>
      <c r="E60" s="47"/>
      <c r="F60" s="47"/>
      <c r="G60" s="48"/>
      <c r="H60" s="47"/>
      <c r="I60" s="47"/>
      <c r="J60" s="47"/>
      <c r="K60" s="47"/>
      <c r="L60" s="47"/>
      <c r="M60" s="47"/>
      <c r="N60" s="47"/>
      <c r="O60" s="47"/>
      <c r="P60" s="47"/>
      <c r="Q60" s="47"/>
      <c r="R60" s="47"/>
      <c r="S60" s="47"/>
      <c r="T60" s="47"/>
      <c r="U60" s="47"/>
      <c r="V60" s="47"/>
      <c r="W60" s="47"/>
      <c r="X60" s="47"/>
      <c r="Y60" s="48"/>
      <c r="Z60" s="47"/>
      <c r="AA60" s="47"/>
      <c r="AB60" s="49"/>
      <c r="AC60" s="47"/>
      <c r="AD60" s="47"/>
      <c r="AE60" s="49"/>
      <c r="AF60" s="47"/>
      <c r="AG60" s="47"/>
      <c r="AH60" s="49"/>
      <c r="AI60" s="47"/>
      <c r="AJ60" s="47"/>
      <c r="AK60" s="49"/>
      <c r="AL60" s="47"/>
      <c r="AM60" s="47"/>
      <c r="AN60" s="49"/>
      <c r="AO60" s="47"/>
      <c r="AP60" s="47"/>
      <c r="AQ60" s="49"/>
      <c r="AR60" s="47"/>
      <c r="AS60" s="47"/>
      <c r="AT60" s="49"/>
      <c r="AU60" s="47"/>
      <c r="AV60" s="47"/>
      <c r="AW60" s="49"/>
      <c r="AX60" s="47"/>
      <c r="AY60" s="47"/>
      <c r="AZ60" s="49"/>
      <c r="BA60" s="47"/>
      <c r="BB60" s="47"/>
      <c r="BC60" s="49"/>
      <c r="BD60" s="47"/>
      <c r="BE60" s="47"/>
      <c r="BF60" s="49"/>
      <c r="BG60" s="47"/>
      <c r="BH60" s="47"/>
      <c r="BI60" s="49"/>
      <c r="BJ60" s="47"/>
      <c r="BK60" s="47"/>
      <c r="BL60" s="49"/>
      <c r="BM60" s="47"/>
      <c r="BN60" s="47"/>
      <c r="BO60" s="49"/>
      <c r="BP60" s="47"/>
      <c r="BQ60" s="49"/>
      <c r="BR60" s="47"/>
      <c r="BS60" s="49"/>
    </row>
    <row r="61" spans="1:76" ht="27.75" customHeight="1" x14ac:dyDescent="0.5">
      <c r="A61" s="45"/>
      <c r="B61" s="46"/>
      <c r="C61" s="47"/>
      <c r="D61" s="47"/>
      <c r="E61" s="47"/>
      <c r="F61" s="47"/>
      <c r="G61" s="48"/>
      <c r="H61" s="47"/>
      <c r="I61" s="47"/>
      <c r="J61" s="47"/>
      <c r="K61" s="47"/>
      <c r="L61" s="47"/>
      <c r="M61" s="47"/>
      <c r="N61" s="47"/>
      <c r="O61" s="47"/>
      <c r="P61" s="47"/>
      <c r="Q61" s="47"/>
      <c r="R61" s="47"/>
      <c r="S61" s="47"/>
      <c r="T61" s="47"/>
      <c r="U61" s="47"/>
      <c r="V61" s="47"/>
      <c r="W61" s="47"/>
      <c r="X61" s="47"/>
      <c r="Y61" s="48"/>
      <c r="Z61" s="47"/>
      <c r="AA61" s="47"/>
      <c r="AB61" s="49"/>
      <c r="AC61" s="47"/>
      <c r="AD61" s="47"/>
      <c r="AE61" s="49"/>
      <c r="AF61" s="47"/>
      <c r="AG61" s="47"/>
      <c r="AH61" s="49"/>
      <c r="AI61" s="47"/>
      <c r="AJ61" s="47"/>
      <c r="AK61" s="49"/>
      <c r="AL61" s="47"/>
      <c r="AM61" s="47"/>
      <c r="AN61" s="49"/>
      <c r="AO61" s="47"/>
      <c r="AP61" s="47"/>
      <c r="AQ61" s="49"/>
      <c r="AR61" s="47"/>
      <c r="AS61" s="47"/>
      <c r="AT61" s="49"/>
      <c r="AU61" s="47"/>
      <c r="AV61" s="47"/>
      <c r="AW61" s="49"/>
      <c r="AX61" s="47"/>
      <c r="AY61" s="47"/>
      <c r="AZ61" s="49"/>
      <c r="BA61" s="47"/>
      <c r="BB61" s="47"/>
      <c r="BC61" s="49"/>
      <c r="BD61" s="47"/>
      <c r="BE61" s="47"/>
      <c r="BF61" s="49"/>
      <c r="BG61" s="47"/>
      <c r="BH61" s="47"/>
      <c r="BI61" s="49"/>
      <c r="BJ61" s="47"/>
      <c r="BK61" s="47"/>
      <c r="BL61" s="49"/>
      <c r="BM61" s="47"/>
      <c r="BN61" s="47"/>
      <c r="BO61" s="49"/>
      <c r="BP61" s="47"/>
      <c r="BQ61" s="91"/>
      <c r="BR61" s="47"/>
      <c r="BS61" s="49"/>
    </row>
    <row r="62" spans="1:76" ht="27.75" customHeight="1" x14ac:dyDescent="0.5">
      <c r="A62" s="45"/>
      <c r="B62" s="46"/>
      <c r="C62" s="47"/>
      <c r="D62" s="47"/>
      <c r="E62" s="47"/>
      <c r="F62" s="47"/>
      <c r="G62" s="48"/>
      <c r="H62" s="47"/>
      <c r="I62" s="47"/>
      <c r="J62" s="47"/>
      <c r="K62" s="47"/>
      <c r="L62" s="47"/>
      <c r="M62" s="47"/>
      <c r="N62" s="47"/>
      <c r="O62" s="47"/>
      <c r="P62" s="47"/>
      <c r="Q62" s="47"/>
      <c r="R62" s="47"/>
      <c r="S62" s="47"/>
      <c r="T62" s="47"/>
      <c r="U62" s="47"/>
      <c r="V62" s="47"/>
      <c r="W62" s="47"/>
      <c r="X62" s="47"/>
      <c r="Y62" s="48"/>
      <c r="Z62" s="47"/>
      <c r="AA62" s="47"/>
      <c r="AB62" s="49"/>
      <c r="AC62" s="47"/>
      <c r="AD62" s="47"/>
      <c r="AE62" s="49"/>
      <c r="AF62" s="47"/>
      <c r="AG62" s="47"/>
      <c r="AH62" s="49"/>
      <c r="AI62" s="47"/>
      <c r="AJ62" s="47"/>
      <c r="AK62" s="49"/>
      <c r="AL62" s="47"/>
      <c r="AM62" s="47"/>
      <c r="AN62" s="49"/>
      <c r="AO62" s="47"/>
      <c r="AP62" s="47"/>
      <c r="AQ62" s="49"/>
      <c r="AR62" s="47"/>
      <c r="AS62" s="47"/>
      <c r="AT62" s="49"/>
      <c r="AU62" s="47"/>
      <c r="AV62" s="47"/>
      <c r="AW62" s="49"/>
      <c r="AX62" s="47"/>
      <c r="AY62" s="47"/>
      <c r="AZ62" s="49"/>
      <c r="BA62" s="47"/>
      <c r="BB62" s="47"/>
      <c r="BC62" s="49"/>
      <c r="BD62" s="47"/>
      <c r="BE62" s="47"/>
      <c r="BF62" s="49"/>
      <c r="BG62" s="47"/>
      <c r="BH62" s="47"/>
      <c r="BI62" s="49"/>
      <c r="BJ62" s="47"/>
      <c r="BK62" s="47"/>
      <c r="BL62" s="49"/>
      <c r="BM62" s="47"/>
      <c r="BN62" s="47"/>
      <c r="BO62" s="49"/>
      <c r="BP62" s="47"/>
      <c r="BQ62" s="91"/>
      <c r="BR62" s="47"/>
      <c r="BS62" s="91"/>
    </row>
    <row r="63" spans="1:76" ht="57.75" customHeight="1" x14ac:dyDescent="0.5">
      <c r="A63" s="45"/>
      <c r="B63" s="46"/>
      <c r="C63" s="47"/>
      <c r="D63" s="47"/>
      <c r="E63" s="47"/>
      <c r="F63" s="47"/>
      <c r="G63" s="48"/>
      <c r="H63" s="47"/>
      <c r="I63" s="47"/>
      <c r="J63" s="47"/>
      <c r="K63" s="47"/>
      <c r="L63" s="47"/>
      <c r="M63" s="47"/>
      <c r="N63" s="47"/>
      <c r="O63" s="47"/>
      <c r="P63" s="47"/>
      <c r="Q63" s="47"/>
      <c r="R63" s="47"/>
      <c r="S63" s="47"/>
      <c r="T63" s="47"/>
      <c r="U63" s="47"/>
      <c r="V63" s="47"/>
      <c r="W63" s="47"/>
      <c r="X63" s="47"/>
      <c r="Y63" s="48"/>
      <c r="Z63" s="47"/>
      <c r="AA63" s="47"/>
      <c r="AB63" s="49"/>
      <c r="AC63" s="47"/>
      <c r="AD63" s="47"/>
      <c r="AE63" s="49"/>
      <c r="AF63" s="47"/>
      <c r="AG63" s="47"/>
      <c r="AH63" s="49"/>
      <c r="AI63" s="47"/>
      <c r="AJ63" s="47"/>
      <c r="AK63" s="49"/>
      <c r="AL63" s="47"/>
      <c r="AM63" s="47"/>
      <c r="AN63" s="49"/>
      <c r="AO63" s="47"/>
      <c r="AP63" s="47"/>
      <c r="AQ63" s="49"/>
      <c r="AR63" s="47"/>
      <c r="AS63" s="47"/>
      <c r="AT63" s="49"/>
      <c r="AU63" s="47"/>
      <c r="AV63" s="47"/>
      <c r="AW63" s="49"/>
      <c r="AX63" s="47"/>
      <c r="AY63" s="47"/>
      <c r="AZ63" s="49"/>
      <c r="BA63" s="47"/>
      <c r="BB63" s="47"/>
      <c r="BC63" s="49"/>
      <c r="BD63" s="47"/>
      <c r="BE63" s="47"/>
      <c r="BF63" s="49"/>
      <c r="BG63" s="47"/>
      <c r="BH63" s="47"/>
      <c r="BI63" s="49"/>
      <c r="BJ63" s="47"/>
      <c r="BK63" s="47"/>
      <c r="BL63" s="49"/>
      <c r="BM63" s="47"/>
      <c r="BN63" s="47"/>
      <c r="BO63" s="49"/>
      <c r="BP63" s="47"/>
      <c r="BQ63" s="51"/>
      <c r="BR63" s="47"/>
      <c r="BS63" s="52"/>
    </row>
    <row r="64" spans="1:76" ht="27.75" customHeight="1" x14ac:dyDescent="0.5">
      <c r="A64" s="45"/>
      <c r="B64" s="46"/>
      <c r="C64" s="47"/>
      <c r="D64" s="47"/>
      <c r="E64" s="47"/>
      <c r="F64" s="47"/>
      <c r="G64" s="48"/>
      <c r="H64" s="47"/>
      <c r="I64" s="47"/>
      <c r="J64" s="47"/>
      <c r="K64" s="47"/>
      <c r="L64" s="47"/>
      <c r="M64" s="47"/>
      <c r="N64" s="47"/>
      <c r="O64" s="47"/>
      <c r="P64" s="47"/>
      <c r="Q64" s="47"/>
      <c r="R64" s="47"/>
      <c r="S64" s="47"/>
      <c r="T64" s="47"/>
      <c r="U64" s="47"/>
      <c r="V64" s="47"/>
      <c r="W64" s="47"/>
      <c r="X64" s="47"/>
      <c r="Y64" s="48"/>
      <c r="Z64" s="47"/>
      <c r="AA64" s="47"/>
      <c r="AB64" s="49"/>
      <c r="AC64" s="47"/>
      <c r="AD64" s="47"/>
      <c r="AE64" s="49"/>
      <c r="AF64" s="47"/>
      <c r="AG64" s="47"/>
      <c r="AH64" s="49"/>
      <c r="AI64" s="47"/>
      <c r="AJ64" s="47"/>
      <c r="AK64" s="49"/>
      <c r="AL64" s="47"/>
      <c r="AM64" s="47"/>
      <c r="AN64" s="49"/>
      <c r="AO64" s="47"/>
      <c r="AP64" s="47"/>
      <c r="AQ64" s="49"/>
      <c r="AR64" s="47"/>
      <c r="AS64" s="47"/>
      <c r="AT64" s="49"/>
      <c r="AU64" s="47"/>
      <c r="AV64" s="47"/>
      <c r="AW64" s="49"/>
      <c r="AX64" s="47"/>
      <c r="AY64" s="47"/>
      <c r="AZ64" s="49"/>
      <c r="BA64" s="47"/>
      <c r="BB64" s="47"/>
      <c r="BC64" s="49"/>
      <c r="BD64" s="47"/>
      <c r="BE64" s="47"/>
      <c r="BF64" s="49"/>
      <c r="BG64" s="47"/>
      <c r="BH64" s="47"/>
      <c r="BI64" s="49"/>
      <c r="BJ64" s="47"/>
      <c r="BK64" s="47"/>
      <c r="BL64" s="49"/>
      <c r="BM64" s="47"/>
      <c r="BN64" s="47"/>
      <c r="BO64" s="49"/>
      <c r="BP64" s="47"/>
      <c r="BQ64" s="49"/>
      <c r="BR64" s="47"/>
      <c r="BS64" s="49"/>
    </row>
    <row r="65" spans="1:71" x14ac:dyDescent="0.45">
      <c r="A65" s="47"/>
      <c r="B65" s="47"/>
      <c r="C65" s="47"/>
      <c r="D65" s="47"/>
      <c r="E65" s="47"/>
      <c r="G65" s="47"/>
      <c r="H65" s="47"/>
      <c r="I65" s="50"/>
      <c r="J65" s="47"/>
      <c r="K65" s="47"/>
      <c r="L65" s="47"/>
      <c r="M65" s="47"/>
      <c r="N65" s="47"/>
      <c r="O65" s="47"/>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3"/>
      <c r="BP65" s="53"/>
      <c r="BQ65" s="54"/>
      <c r="BR65" s="53"/>
      <c r="BS65" s="47"/>
    </row>
    <row r="66" spans="1:71" ht="23.25" customHeight="1" x14ac:dyDescent="0.5">
      <c r="A66" s="149"/>
      <c r="B66" s="46"/>
      <c r="C66" s="47"/>
      <c r="D66" s="47"/>
      <c r="E66" s="47"/>
      <c r="G66" s="151"/>
      <c r="H66" s="151"/>
      <c r="I66" s="149"/>
      <c r="J66" s="149"/>
      <c r="K66" s="149"/>
      <c r="L66" s="149"/>
      <c r="M66" s="149"/>
      <c r="N66" s="149"/>
      <c r="O66" s="149"/>
      <c r="P66" s="152"/>
      <c r="Q66" s="152"/>
      <c r="R66" s="152"/>
      <c r="S66" s="152"/>
      <c r="T66" s="152"/>
      <c r="U66" s="152"/>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46"/>
      <c r="BP66" s="46"/>
      <c r="BQ66" s="150"/>
      <c r="BR66" s="47"/>
      <c r="BS66" s="46"/>
    </row>
    <row r="67" spans="1:71" ht="20.25" customHeight="1" x14ac:dyDescent="0.45">
      <c r="A67" s="47"/>
      <c r="B67" s="47"/>
      <c r="C67" s="47"/>
      <c r="D67" s="47"/>
      <c r="E67" s="47"/>
      <c r="G67" s="55"/>
      <c r="H67" s="55"/>
      <c r="I67" s="56"/>
      <c r="J67" s="47"/>
      <c r="K67" s="47"/>
      <c r="L67" s="47"/>
      <c r="M67" s="47"/>
      <c r="N67" s="47"/>
      <c r="O67" s="47"/>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5"/>
      <c r="BP67" s="55"/>
      <c r="BQ67" s="56"/>
      <c r="BR67" s="47"/>
      <c r="BS67" s="55"/>
    </row>
    <row r="68" spans="1:71" ht="20.25" customHeight="1" x14ac:dyDescent="0.45">
      <c r="A68" s="47"/>
      <c r="B68" s="47"/>
      <c r="C68" s="47"/>
      <c r="D68" s="47"/>
      <c r="E68" s="47"/>
      <c r="G68" s="47"/>
      <c r="H68" s="47"/>
      <c r="I68" s="47"/>
      <c r="J68" s="47"/>
      <c r="K68" s="47"/>
      <c r="L68" s="47"/>
      <c r="M68" s="47"/>
      <c r="N68" s="47"/>
      <c r="O68" s="47"/>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47"/>
      <c r="BP68" s="47"/>
      <c r="BQ68" s="56"/>
      <c r="BR68" s="47"/>
      <c r="BS68" s="47"/>
    </row>
    <row r="69" spans="1:71" x14ac:dyDescent="0.45">
      <c r="AN69" s="21"/>
      <c r="BQ69" s="29"/>
    </row>
    <row r="70" spans="1:71" x14ac:dyDescent="0.45">
      <c r="AH70" s="21"/>
    </row>
    <row r="71" spans="1:71" x14ac:dyDescent="0.45">
      <c r="C71" s="29"/>
      <c r="AF71" s="29"/>
      <c r="AH71" s="29"/>
      <c r="AI71" s="29"/>
      <c r="AJ71" s="29"/>
      <c r="AK71" s="29"/>
      <c r="AN71" s="21"/>
      <c r="BQ71" s="21"/>
    </row>
    <row r="72" spans="1:71" x14ac:dyDescent="0.45">
      <c r="O72" s="29">
        <f>M55+S55</f>
        <v>0</v>
      </c>
      <c r="AC72" s="29"/>
      <c r="AH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row>
    <row r="73" spans="1:71" x14ac:dyDescent="0.45">
      <c r="C73" s="29"/>
      <c r="AB73" s="57"/>
      <c r="AC73" s="29"/>
      <c r="AF73" s="58"/>
      <c r="AI73" s="58"/>
      <c r="AJ73" s="58"/>
      <c r="AK73" s="58"/>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row>
    <row r="74" spans="1:71" ht="23" x14ac:dyDescent="0.5">
      <c r="AB74" s="57"/>
      <c r="AC74" s="57"/>
      <c r="AD74" s="59"/>
      <c r="AF74" s="60"/>
      <c r="AI74" s="60"/>
      <c r="AJ74" s="60"/>
      <c r="AK74" s="60"/>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row>
    <row r="75" spans="1:71" x14ac:dyDescent="0.45">
      <c r="S75" s="1">
        <f>Q43*O43*R43</f>
        <v>0</v>
      </c>
      <c r="AB75" s="57"/>
      <c r="AC75" s="29"/>
      <c r="AF75" s="29"/>
      <c r="AI75" s="29"/>
      <c r="AJ75" s="29"/>
      <c r="AK75" s="29"/>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row>
    <row r="76" spans="1:71" x14ac:dyDescent="0.45">
      <c r="AF76" s="29"/>
      <c r="AI76" s="29"/>
      <c r="AJ76" s="29"/>
      <c r="AK76" s="29"/>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row>
    <row r="77" spans="1:71" x14ac:dyDescent="0.45">
      <c r="AB77" s="29"/>
      <c r="AC77" s="29"/>
      <c r="AD77" s="29"/>
      <c r="AF77" s="29"/>
      <c r="AH77" s="29"/>
      <c r="AI77" s="29"/>
      <c r="AJ77" s="29"/>
      <c r="AK77" s="29"/>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61"/>
    </row>
    <row r="78" spans="1:71" x14ac:dyDescent="0.45">
      <c r="AB78" s="29"/>
      <c r="AF78" s="29"/>
      <c r="AH78" s="29"/>
      <c r="AI78" s="29"/>
      <c r="AJ78" s="29"/>
      <c r="AK78" s="29"/>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61"/>
    </row>
    <row r="79" spans="1:71" x14ac:dyDescent="0.45">
      <c r="AH79" s="29"/>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61"/>
    </row>
    <row r="80" spans="1:71" x14ac:dyDescent="0.45">
      <c r="Y80" s="29"/>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61"/>
    </row>
    <row r="81" spans="25:70" x14ac:dyDescent="0.45">
      <c r="Y81" s="29"/>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62"/>
    </row>
    <row r="82" spans="25:70" x14ac:dyDescent="0.45">
      <c r="Y82" s="29"/>
    </row>
    <row r="83" spans="25:70" x14ac:dyDescent="0.45">
      <c r="Y83" s="29"/>
      <c r="AC83" s="6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row>
    <row r="84" spans="25:70" x14ac:dyDescent="0.45">
      <c r="Y84" s="29"/>
      <c r="AC84" s="61"/>
    </row>
    <row r="85" spans="25:70" x14ac:dyDescent="0.45">
      <c r="Y85" s="29"/>
      <c r="AC85" s="61"/>
    </row>
    <row r="86" spans="25:70" x14ac:dyDescent="0.45">
      <c r="Y86" s="29"/>
      <c r="AC86" s="61"/>
      <c r="AT86" s="21"/>
    </row>
    <row r="87" spans="25:70" x14ac:dyDescent="0.45">
      <c r="AC87" s="61"/>
    </row>
    <row r="88" spans="25:70" x14ac:dyDescent="0.45">
      <c r="AC88" s="61"/>
    </row>
    <row r="89" spans="25:70" x14ac:dyDescent="0.45">
      <c r="AC89" s="61"/>
    </row>
    <row r="90" spans="25:70" x14ac:dyDescent="0.45">
      <c r="AC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row>
  </sheetData>
  <mergeCells count="64">
    <mergeCell ref="Z34:AA34"/>
    <mergeCell ref="A51:F51"/>
    <mergeCell ref="A52:F52"/>
    <mergeCell ref="A53:F53"/>
    <mergeCell ref="A54:F54"/>
    <mergeCell ref="T34:X34"/>
    <mergeCell ref="A30:F30"/>
    <mergeCell ref="A31:F31"/>
    <mergeCell ref="A34:F34"/>
    <mergeCell ref="A57:F57"/>
    <mergeCell ref="A58:F58"/>
    <mergeCell ref="A55:F55"/>
    <mergeCell ref="BR11:BS11"/>
    <mergeCell ref="C14:G14"/>
    <mergeCell ref="A29:F29"/>
    <mergeCell ref="A13:G13"/>
    <mergeCell ref="AO11:AQ11"/>
    <mergeCell ref="AR11:AT11"/>
    <mergeCell ref="AU11:AW11"/>
    <mergeCell ref="AX11:AZ11"/>
    <mergeCell ref="BA11:BC11"/>
    <mergeCell ref="BD11:BF11"/>
    <mergeCell ref="AC11:AE11"/>
    <mergeCell ref="AF11:AH11"/>
    <mergeCell ref="AI11:AK11"/>
    <mergeCell ref="AL11:AN11"/>
    <mergeCell ref="A1:A8"/>
    <mergeCell ref="B1:BQ1"/>
    <mergeCell ref="BG11:BI11"/>
    <mergeCell ref="BJ11:BL11"/>
    <mergeCell ref="B5:D5"/>
    <mergeCell ref="E5:S5"/>
    <mergeCell ref="BM11:BO11"/>
    <mergeCell ref="BP11:BQ11"/>
    <mergeCell ref="A11:G11"/>
    <mergeCell ref="H11:M11"/>
    <mergeCell ref="N11:S11"/>
    <mergeCell ref="T11:Y11"/>
    <mergeCell ref="Z11:AB11"/>
    <mergeCell ref="T5:V5"/>
    <mergeCell ref="W5:BQ5"/>
    <mergeCell ref="BR5:BS9"/>
    <mergeCell ref="B6:D6"/>
    <mergeCell ref="E6:S6"/>
    <mergeCell ref="T6:V6"/>
    <mergeCell ref="W6:BQ6"/>
    <mergeCell ref="B7:D7"/>
    <mergeCell ref="E7:S7"/>
    <mergeCell ref="T7:V7"/>
    <mergeCell ref="W7:BQ7"/>
    <mergeCell ref="B8:D8"/>
    <mergeCell ref="E8:BQ8"/>
    <mergeCell ref="BR1:BS1"/>
    <mergeCell ref="B2:BQ2"/>
    <mergeCell ref="BR2:BS2"/>
    <mergeCell ref="B3:D3"/>
    <mergeCell ref="E3:S3"/>
    <mergeCell ref="T3:V3"/>
    <mergeCell ref="W3:BQ3"/>
    <mergeCell ref="BR3:BS4"/>
    <mergeCell ref="B4:D4"/>
    <mergeCell ref="E4:S4"/>
    <mergeCell ref="T4:V4"/>
    <mergeCell ref="W4:BQ4"/>
  </mergeCells>
  <printOptions horizontalCentered="1" verticalCentered="1"/>
  <pageMargins left="0" right="0" top="0.15748031496062992" bottom="0.15748031496062992" header="0.31496062992125984" footer="0.31496062992125984"/>
  <pageSetup scale="20" orientation="landscape" r:id="rId1"/>
  <headerFooter alignWithMargins="0"/>
  <rowBreaks count="1" manualBreakCount="1">
    <brk id="34" max="1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BS77"/>
  <sheetViews>
    <sheetView tabSelected="1" topLeftCell="A10" zoomScale="60" zoomScaleNormal="60" workbookViewId="0">
      <selection activeCell="AM55" sqref="A1:AM55"/>
    </sheetView>
  </sheetViews>
  <sheetFormatPr baseColWidth="10" defaultColWidth="11.453125" defaultRowHeight="22.5" x14ac:dyDescent="0.45"/>
  <cols>
    <col min="1" max="1" width="84.81640625" style="1" customWidth="1"/>
    <col min="2" max="2" width="18.26953125" style="1" customWidth="1"/>
    <col min="3" max="3" width="24.54296875" style="1" customWidth="1"/>
    <col min="4" max="4" width="20.1796875" style="1" customWidth="1"/>
    <col min="5" max="5" width="18.1796875" style="1" customWidth="1"/>
    <col min="6" max="6" width="17" style="1" customWidth="1"/>
    <col min="7" max="7" width="32.1796875" style="1" customWidth="1"/>
    <col min="8" max="8" width="16.26953125" style="1" hidden="1" customWidth="1"/>
    <col min="9" max="9" width="27.26953125" style="1" hidden="1" customWidth="1"/>
    <col min="10" max="10" width="19" style="1" hidden="1" customWidth="1"/>
    <col min="11" max="11" width="11" style="1" hidden="1" customWidth="1"/>
    <col min="12" max="12" width="16.81640625" style="1" hidden="1" customWidth="1"/>
    <col min="13" max="13" width="30.453125" style="1" hidden="1" customWidth="1"/>
    <col min="14" max="14" width="22.453125" style="1" hidden="1" customWidth="1"/>
    <col min="15" max="15" width="28" style="1" hidden="1" customWidth="1"/>
    <col min="16" max="18" width="17.453125" style="1" hidden="1" customWidth="1"/>
    <col min="19" max="19" width="32.26953125" style="1" hidden="1" customWidth="1"/>
    <col min="20" max="20" width="19" style="1" hidden="1" customWidth="1"/>
    <col min="21" max="21" width="33.26953125" style="1" hidden="1" customWidth="1"/>
    <col min="22" max="22" width="19.26953125" style="1" hidden="1" customWidth="1"/>
    <col min="23" max="23" width="14" style="1" hidden="1" customWidth="1"/>
    <col min="24" max="24" width="16.453125" style="1" hidden="1" customWidth="1"/>
    <col min="25" max="25" width="32.1796875" style="1" hidden="1" customWidth="1"/>
    <col min="26" max="26" width="11.54296875" style="1" customWidth="1"/>
    <col min="27" max="27" width="14.453125" style="1" customWidth="1"/>
    <col min="28" max="28" width="29" style="1" customWidth="1"/>
    <col min="29" max="30" width="16.1796875" style="1" customWidth="1"/>
    <col min="31" max="31" width="24.1796875" style="1" customWidth="1"/>
    <col min="32" max="33" width="16.1796875" style="1" customWidth="1"/>
    <col min="34" max="34" width="27.26953125" style="1" customWidth="1"/>
    <col min="35" max="36" width="16.1796875" style="1" customWidth="1"/>
    <col min="37" max="37" width="29.1796875" style="1" customWidth="1"/>
    <col min="38" max="38" width="25.81640625" style="1" customWidth="1"/>
    <col min="39" max="39" width="33.7265625" style="1" customWidth="1"/>
    <col min="40" max="40" width="6.81640625" style="1" customWidth="1"/>
    <col min="41" max="41" width="26.7265625" style="1" customWidth="1"/>
    <col min="42" max="42" width="30" style="1" customWidth="1"/>
    <col min="43" max="43" width="6.81640625" style="1" customWidth="1"/>
    <col min="44" max="44" width="33.7265625" style="1" customWidth="1"/>
    <col min="45" max="45" width="68.26953125" style="1" customWidth="1"/>
    <col min="46" max="16384" width="11.453125" style="1"/>
  </cols>
  <sheetData>
    <row r="1" spans="1:42" ht="63" hidden="1" customHeight="1" thickBot="1" x14ac:dyDescent="0.5">
      <c r="A1" s="242"/>
      <c r="B1" s="245" t="s">
        <v>0</v>
      </c>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06"/>
    </row>
    <row r="2" spans="1:42" ht="70.5" hidden="1" customHeight="1" thickBot="1" x14ac:dyDescent="0.5">
      <c r="A2" s="243"/>
      <c r="B2" s="203" t="s">
        <v>2</v>
      </c>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5"/>
    </row>
    <row r="3" spans="1:42" ht="37.5" hidden="1" customHeight="1" thickBot="1" x14ac:dyDescent="0.5">
      <c r="A3" s="243"/>
      <c r="B3" s="207" t="s">
        <v>3</v>
      </c>
      <c r="C3" s="208"/>
      <c r="D3" s="208"/>
      <c r="E3" s="209">
        <v>7</v>
      </c>
      <c r="F3" s="210"/>
      <c r="G3" s="210"/>
      <c r="H3" s="210"/>
      <c r="I3" s="210"/>
      <c r="J3" s="210"/>
      <c r="K3" s="210"/>
      <c r="L3" s="210"/>
      <c r="M3" s="210"/>
      <c r="N3" s="210"/>
      <c r="O3" s="210"/>
      <c r="P3" s="210"/>
      <c r="Q3" s="210"/>
      <c r="R3" s="210"/>
      <c r="S3" s="211"/>
      <c r="T3" s="212" t="s">
        <v>4</v>
      </c>
      <c r="U3" s="212"/>
      <c r="V3" s="212"/>
      <c r="W3" s="213">
        <v>1531513035</v>
      </c>
      <c r="X3" s="214"/>
      <c r="Y3" s="214"/>
      <c r="Z3" s="214"/>
      <c r="AA3" s="214"/>
      <c r="AB3" s="214"/>
      <c r="AC3" s="214"/>
      <c r="AD3" s="214"/>
      <c r="AE3" s="214"/>
      <c r="AF3" s="214"/>
      <c r="AG3" s="214"/>
      <c r="AH3" s="214"/>
      <c r="AI3" s="214"/>
      <c r="AJ3" s="214"/>
      <c r="AK3" s="214"/>
      <c r="AL3" s="214"/>
      <c r="AM3" s="215"/>
    </row>
    <row r="4" spans="1:42" ht="33.75" hidden="1" customHeight="1" thickBot="1" x14ac:dyDescent="0.5">
      <c r="A4" s="243"/>
      <c r="B4" s="220" t="s">
        <v>6</v>
      </c>
      <c r="C4" s="221"/>
      <c r="D4" s="221"/>
      <c r="E4" s="222" t="s">
        <v>64</v>
      </c>
      <c r="F4" s="223"/>
      <c r="G4" s="223"/>
      <c r="H4" s="223"/>
      <c r="I4" s="223"/>
      <c r="J4" s="223"/>
      <c r="K4" s="223"/>
      <c r="L4" s="223"/>
      <c r="M4" s="223"/>
      <c r="N4" s="223"/>
      <c r="O4" s="223"/>
      <c r="P4" s="223"/>
      <c r="Q4" s="223"/>
      <c r="R4" s="223"/>
      <c r="S4" s="224"/>
      <c r="T4" s="225" t="s">
        <v>7</v>
      </c>
      <c r="U4" s="225"/>
      <c r="V4" s="225"/>
      <c r="W4" s="226" t="s">
        <v>65</v>
      </c>
      <c r="X4" s="227"/>
      <c r="Y4" s="227"/>
      <c r="Z4" s="227"/>
      <c r="AA4" s="227"/>
      <c r="AB4" s="227"/>
      <c r="AC4" s="227"/>
      <c r="AD4" s="227"/>
      <c r="AE4" s="227"/>
      <c r="AF4" s="227"/>
      <c r="AG4" s="227"/>
      <c r="AH4" s="227"/>
      <c r="AI4" s="227"/>
      <c r="AJ4" s="227"/>
      <c r="AK4" s="227"/>
      <c r="AL4" s="227"/>
      <c r="AM4" s="228"/>
    </row>
    <row r="5" spans="1:42" ht="28.5" hidden="1" customHeight="1" thickBot="1" x14ac:dyDescent="0.5">
      <c r="A5" s="243"/>
      <c r="B5" s="220" t="s">
        <v>8</v>
      </c>
      <c r="C5" s="221"/>
      <c r="D5" s="221"/>
      <c r="E5" s="231">
        <v>44270</v>
      </c>
      <c r="F5" s="232"/>
      <c r="G5" s="232"/>
      <c r="H5" s="232"/>
      <c r="I5" s="232"/>
      <c r="J5" s="232"/>
      <c r="K5" s="232"/>
      <c r="L5" s="232"/>
      <c r="M5" s="232"/>
      <c r="N5" s="232"/>
      <c r="O5" s="232"/>
      <c r="P5" s="232"/>
      <c r="Q5" s="232"/>
      <c r="R5" s="232"/>
      <c r="S5" s="233"/>
      <c r="T5" s="225" t="s">
        <v>9</v>
      </c>
      <c r="U5" s="225"/>
      <c r="V5" s="225"/>
      <c r="W5" s="222" t="s">
        <v>68</v>
      </c>
      <c r="X5" s="223"/>
      <c r="Y5" s="223"/>
      <c r="Z5" s="223"/>
      <c r="AA5" s="223"/>
      <c r="AB5" s="223"/>
      <c r="AC5" s="223"/>
      <c r="AD5" s="223"/>
      <c r="AE5" s="223"/>
      <c r="AF5" s="223"/>
      <c r="AG5" s="223"/>
      <c r="AH5" s="223"/>
      <c r="AI5" s="223"/>
      <c r="AJ5" s="223"/>
      <c r="AK5" s="223"/>
      <c r="AL5" s="223"/>
      <c r="AM5" s="234"/>
    </row>
    <row r="6" spans="1:42" ht="51.75" hidden="1" customHeight="1" thickBot="1" x14ac:dyDescent="0.5">
      <c r="A6" s="243"/>
      <c r="B6" s="220" t="s">
        <v>54</v>
      </c>
      <c r="C6" s="221"/>
      <c r="D6" s="221"/>
      <c r="E6" s="231">
        <v>44527</v>
      </c>
      <c r="F6" s="232"/>
      <c r="G6" s="232"/>
      <c r="H6" s="232"/>
      <c r="I6" s="232"/>
      <c r="J6" s="232"/>
      <c r="K6" s="232"/>
      <c r="L6" s="232"/>
      <c r="M6" s="232"/>
      <c r="N6" s="232"/>
      <c r="O6" s="232"/>
      <c r="P6" s="232"/>
      <c r="Q6" s="232"/>
      <c r="R6" s="232"/>
      <c r="S6" s="233"/>
      <c r="T6" s="225" t="s">
        <v>10</v>
      </c>
      <c r="U6" s="225"/>
      <c r="V6" s="225"/>
      <c r="W6" s="222" t="s">
        <v>55</v>
      </c>
      <c r="X6" s="223"/>
      <c r="Y6" s="223"/>
      <c r="Z6" s="223"/>
      <c r="AA6" s="223"/>
      <c r="AB6" s="223"/>
      <c r="AC6" s="223"/>
      <c r="AD6" s="223"/>
      <c r="AE6" s="223"/>
      <c r="AF6" s="223"/>
      <c r="AG6" s="223"/>
      <c r="AH6" s="223"/>
      <c r="AI6" s="223"/>
      <c r="AJ6" s="223"/>
      <c r="AK6" s="223"/>
      <c r="AL6" s="223"/>
      <c r="AM6" s="234"/>
    </row>
    <row r="7" spans="1:42" ht="38.25" hidden="1" customHeight="1" thickBot="1" x14ac:dyDescent="0.5">
      <c r="A7" s="243"/>
      <c r="B7" s="220" t="s">
        <v>11</v>
      </c>
      <c r="C7" s="221"/>
      <c r="D7" s="221"/>
      <c r="E7" s="222" t="s">
        <v>67</v>
      </c>
      <c r="F7" s="223"/>
      <c r="G7" s="223"/>
      <c r="H7" s="223"/>
      <c r="I7" s="223"/>
      <c r="J7" s="223"/>
      <c r="K7" s="223"/>
      <c r="L7" s="223"/>
      <c r="M7" s="223"/>
      <c r="N7" s="223"/>
      <c r="O7" s="223"/>
      <c r="P7" s="223"/>
      <c r="Q7" s="223"/>
      <c r="R7" s="223"/>
      <c r="S7" s="224"/>
      <c r="T7" s="225" t="s">
        <v>12</v>
      </c>
      <c r="U7" s="225"/>
      <c r="V7" s="225"/>
      <c r="W7" s="235" t="str">
        <f>+W6</f>
        <v>N/A</v>
      </c>
      <c r="X7" s="236"/>
      <c r="Y7" s="236"/>
      <c r="Z7" s="236"/>
      <c r="AA7" s="236"/>
      <c r="AB7" s="236"/>
      <c r="AC7" s="236"/>
      <c r="AD7" s="236"/>
      <c r="AE7" s="236"/>
      <c r="AF7" s="236"/>
      <c r="AG7" s="236"/>
      <c r="AH7" s="236"/>
      <c r="AI7" s="236"/>
      <c r="AJ7" s="236"/>
      <c r="AK7" s="236"/>
      <c r="AL7" s="236"/>
      <c r="AM7" s="237"/>
    </row>
    <row r="8" spans="1:42" ht="81" hidden="1" customHeight="1" thickBot="1" x14ac:dyDescent="0.5">
      <c r="A8" s="244"/>
      <c r="B8" s="238" t="s">
        <v>13</v>
      </c>
      <c r="C8" s="239"/>
      <c r="D8" s="239"/>
      <c r="E8" s="240" t="s">
        <v>66</v>
      </c>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1"/>
    </row>
    <row r="9" spans="1:42" ht="24.75" hidden="1" customHeight="1" thickBot="1" x14ac:dyDescent="0.5">
      <c r="A9" s="2"/>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42" ht="9" customHeight="1" thickBot="1" x14ac:dyDescent="0.5">
      <c r="A10" s="2"/>
      <c r="B10" s="3"/>
      <c r="C10" s="3"/>
      <c r="D10" s="3"/>
      <c r="E10" s="3"/>
      <c r="F10" s="3"/>
      <c r="G10" s="3"/>
      <c r="H10" s="3"/>
      <c r="I10" s="3"/>
      <c r="J10" s="3"/>
      <c r="K10" s="3"/>
      <c r="L10" s="3"/>
      <c r="M10" s="3"/>
      <c r="N10" s="3"/>
      <c r="O10" s="3"/>
      <c r="P10" s="3"/>
      <c r="Q10" s="3"/>
      <c r="R10" s="3"/>
      <c r="S10" s="3"/>
      <c r="T10" s="4"/>
      <c r="U10" s="4"/>
      <c r="V10" s="4"/>
      <c r="W10" s="4"/>
      <c r="X10" s="4"/>
      <c r="Y10" s="4"/>
      <c r="Z10" s="3"/>
      <c r="AA10" s="3"/>
      <c r="AB10" s="3"/>
      <c r="AC10" s="3"/>
      <c r="AD10" s="3"/>
      <c r="AE10" s="3"/>
      <c r="AF10" s="3"/>
      <c r="AG10" s="3"/>
      <c r="AH10" s="3"/>
      <c r="AI10" s="3"/>
      <c r="AJ10" s="3"/>
      <c r="AK10" s="3"/>
      <c r="AL10" s="3"/>
      <c r="AM10" s="3"/>
    </row>
    <row r="11" spans="1:42" ht="61.5" customHeight="1" thickBot="1" x14ac:dyDescent="0.5">
      <c r="A11" s="276" t="s">
        <v>14</v>
      </c>
      <c r="B11" s="277"/>
      <c r="C11" s="277"/>
      <c r="D11" s="277"/>
      <c r="E11" s="277"/>
      <c r="F11" s="277"/>
      <c r="G11" s="278"/>
      <c r="H11" s="279" t="s">
        <v>15</v>
      </c>
      <c r="I11" s="280"/>
      <c r="J11" s="280"/>
      <c r="K11" s="280"/>
      <c r="L11" s="280"/>
      <c r="M11" s="281"/>
      <c r="N11" s="279" t="s">
        <v>16</v>
      </c>
      <c r="O11" s="280"/>
      <c r="P11" s="280"/>
      <c r="Q11" s="280"/>
      <c r="R11" s="280"/>
      <c r="S11" s="281"/>
      <c r="T11" s="282" t="s">
        <v>17</v>
      </c>
      <c r="U11" s="283"/>
      <c r="V11" s="283"/>
      <c r="W11" s="283"/>
      <c r="X11" s="283"/>
      <c r="Y11" s="284"/>
      <c r="Z11" s="279" t="s">
        <v>92</v>
      </c>
      <c r="AA11" s="280"/>
      <c r="AB11" s="281"/>
      <c r="AC11" s="279" t="s">
        <v>93</v>
      </c>
      <c r="AD11" s="280"/>
      <c r="AE11" s="281"/>
      <c r="AF11" s="279" t="s">
        <v>94</v>
      </c>
      <c r="AG11" s="280"/>
      <c r="AH11" s="281"/>
      <c r="AI11" s="279" t="s">
        <v>95</v>
      </c>
      <c r="AJ11" s="280"/>
      <c r="AK11" s="281"/>
      <c r="AL11" s="279" t="s">
        <v>96</v>
      </c>
      <c r="AM11" s="281"/>
    </row>
    <row r="12" spans="1:42" ht="114" customHeight="1" thickBot="1" x14ac:dyDescent="0.5">
      <c r="A12" s="285" t="s">
        <v>20</v>
      </c>
      <c r="B12" s="286" t="s">
        <v>21</v>
      </c>
      <c r="C12" s="287" t="s">
        <v>22</v>
      </c>
      <c r="D12" s="288" t="s">
        <v>23</v>
      </c>
      <c r="E12" s="286" t="s">
        <v>24</v>
      </c>
      <c r="F12" s="288" t="s">
        <v>25</v>
      </c>
      <c r="G12" s="289" t="s">
        <v>26</v>
      </c>
      <c r="H12" s="285" t="s">
        <v>21</v>
      </c>
      <c r="I12" s="287" t="s">
        <v>22</v>
      </c>
      <c r="J12" s="288" t="s">
        <v>23</v>
      </c>
      <c r="K12" s="286" t="s">
        <v>24</v>
      </c>
      <c r="L12" s="288" t="s">
        <v>25</v>
      </c>
      <c r="M12" s="289" t="s">
        <v>26</v>
      </c>
      <c r="N12" s="285" t="s">
        <v>21</v>
      </c>
      <c r="O12" s="287" t="s">
        <v>22</v>
      </c>
      <c r="P12" s="288" t="s">
        <v>27</v>
      </c>
      <c r="Q12" s="286" t="s">
        <v>24</v>
      </c>
      <c r="R12" s="288" t="s">
        <v>28</v>
      </c>
      <c r="S12" s="289" t="s">
        <v>26</v>
      </c>
      <c r="T12" s="285" t="s">
        <v>21</v>
      </c>
      <c r="U12" s="290" t="s">
        <v>22</v>
      </c>
      <c r="V12" s="291" t="s">
        <v>23</v>
      </c>
      <c r="W12" s="292" t="s">
        <v>24</v>
      </c>
      <c r="X12" s="291" t="s">
        <v>25</v>
      </c>
      <c r="Y12" s="293" t="s">
        <v>26</v>
      </c>
      <c r="Z12" s="286" t="s">
        <v>24</v>
      </c>
      <c r="AA12" s="288" t="s">
        <v>29</v>
      </c>
      <c r="AB12" s="289" t="s">
        <v>30</v>
      </c>
      <c r="AC12" s="286" t="s">
        <v>24</v>
      </c>
      <c r="AD12" s="288" t="s">
        <v>29</v>
      </c>
      <c r="AE12" s="289" t="s">
        <v>26</v>
      </c>
      <c r="AF12" s="286" t="s">
        <v>24</v>
      </c>
      <c r="AG12" s="288" t="s">
        <v>29</v>
      </c>
      <c r="AH12" s="289" t="s">
        <v>26</v>
      </c>
      <c r="AI12" s="286" t="s">
        <v>24</v>
      </c>
      <c r="AJ12" s="288" t="s">
        <v>29</v>
      </c>
      <c r="AK12" s="289" t="s">
        <v>26</v>
      </c>
      <c r="AL12" s="294" t="s">
        <v>31</v>
      </c>
      <c r="AM12" s="289" t="s">
        <v>26</v>
      </c>
    </row>
    <row r="13" spans="1:42" ht="36" customHeight="1" x14ac:dyDescent="0.45">
      <c r="A13" s="295" t="s">
        <v>32</v>
      </c>
      <c r="B13" s="296"/>
      <c r="C13" s="296"/>
      <c r="D13" s="296"/>
      <c r="E13" s="296"/>
      <c r="F13" s="296"/>
      <c r="G13" s="297"/>
      <c r="H13" s="298"/>
      <c r="I13" s="298"/>
      <c r="J13" s="299"/>
      <c r="K13" s="299"/>
      <c r="L13" s="299"/>
      <c r="M13" s="300"/>
      <c r="N13" s="301"/>
      <c r="O13" s="298"/>
      <c r="P13" s="299"/>
      <c r="Q13" s="299"/>
      <c r="R13" s="299"/>
      <c r="S13" s="302"/>
      <c r="T13" s="303"/>
      <c r="U13" s="304"/>
      <c r="V13" s="305"/>
      <c r="W13" s="305"/>
      <c r="X13" s="305"/>
      <c r="Y13" s="306"/>
      <c r="Z13" s="307"/>
      <c r="AA13" s="307"/>
      <c r="AB13" s="308"/>
      <c r="AC13" s="307"/>
      <c r="AD13" s="307"/>
      <c r="AE13" s="308"/>
      <c r="AF13" s="307"/>
      <c r="AG13" s="307"/>
      <c r="AH13" s="308"/>
      <c r="AI13" s="307"/>
      <c r="AJ13" s="307"/>
      <c r="AK13" s="308"/>
      <c r="AL13" s="307"/>
      <c r="AM13" s="309"/>
    </row>
    <row r="14" spans="1:42" ht="38.25" customHeight="1" x14ac:dyDescent="0.45">
      <c r="A14" s="310" t="s">
        <v>34</v>
      </c>
      <c r="B14" s="311"/>
      <c r="C14" s="312"/>
      <c r="D14" s="312"/>
      <c r="E14" s="312"/>
      <c r="F14" s="312"/>
      <c r="G14" s="313"/>
      <c r="H14" s="314"/>
      <c r="I14" s="314"/>
      <c r="J14" s="315"/>
      <c r="K14" s="315"/>
      <c r="L14" s="315"/>
      <c r="M14" s="316"/>
      <c r="N14" s="317"/>
      <c r="O14" s="314"/>
      <c r="P14" s="315"/>
      <c r="Q14" s="315"/>
      <c r="R14" s="315"/>
      <c r="S14" s="318"/>
      <c r="T14" s="319"/>
      <c r="U14" s="320"/>
      <c r="V14" s="315"/>
      <c r="W14" s="315"/>
      <c r="X14" s="315"/>
      <c r="Y14" s="316"/>
      <c r="Z14" s="315"/>
      <c r="AA14" s="315"/>
      <c r="AB14" s="321"/>
      <c r="AC14" s="315"/>
      <c r="AD14" s="315"/>
      <c r="AE14" s="321"/>
      <c r="AF14" s="315"/>
      <c r="AG14" s="315"/>
      <c r="AH14" s="321"/>
      <c r="AI14" s="315"/>
      <c r="AJ14" s="315"/>
      <c r="AK14" s="321"/>
      <c r="AL14" s="314"/>
      <c r="AM14" s="316"/>
    </row>
    <row r="15" spans="1:42" s="170" customFormat="1" ht="64.5" customHeight="1" x14ac:dyDescent="0.25">
      <c r="A15" s="322" t="s">
        <v>56</v>
      </c>
      <c r="B15" s="323" t="s">
        <v>35</v>
      </c>
      <c r="C15" s="324">
        <v>5850000</v>
      </c>
      <c r="D15" s="325">
        <v>1</v>
      </c>
      <c r="E15" s="34">
        <v>1</v>
      </c>
      <c r="F15" s="34">
        <v>9</v>
      </c>
      <c r="G15" s="137">
        <f t="shared" ref="G15:G24" si="0">+E15*C15*D15*F15</f>
        <v>52650000</v>
      </c>
      <c r="H15" s="326" t="s">
        <v>35</v>
      </c>
      <c r="I15" s="324">
        <v>5850000</v>
      </c>
      <c r="J15" s="325">
        <v>1</v>
      </c>
      <c r="K15" s="34">
        <v>0</v>
      </c>
      <c r="L15" s="34">
        <v>0</v>
      </c>
      <c r="M15" s="137">
        <f t="shared" ref="M15:M24" si="1">+K15*I15*J15*L15</f>
        <v>0</v>
      </c>
      <c r="N15" s="326" t="s">
        <v>35</v>
      </c>
      <c r="O15" s="324">
        <v>5850000</v>
      </c>
      <c r="P15" s="325">
        <v>1</v>
      </c>
      <c r="Q15" s="34">
        <v>0</v>
      </c>
      <c r="R15" s="34">
        <v>0</v>
      </c>
      <c r="S15" s="327">
        <f t="shared" ref="S15:S24" si="2">+Q15*O15*P15*R15</f>
        <v>0</v>
      </c>
      <c r="T15" s="328" t="s">
        <v>35</v>
      </c>
      <c r="U15" s="324">
        <v>5850000</v>
      </c>
      <c r="V15" s="325">
        <v>1</v>
      </c>
      <c r="W15" s="34">
        <f>+E15+K15+Q15</f>
        <v>1</v>
      </c>
      <c r="X15" s="34">
        <f>+F15+L15+R15</f>
        <v>9</v>
      </c>
      <c r="Y15" s="137">
        <f t="shared" ref="Y15:Y24" si="3">+G15</f>
        <v>52650000</v>
      </c>
      <c r="Z15" s="34">
        <v>1</v>
      </c>
      <c r="AA15" s="34">
        <v>1</v>
      </c>
      <c r="AB15" s="137">
        <f>ROUND(U15*V15*Z15*AA15,0)</f>
        <v>5850000</v>
      </c>
      <c r="AC15" s="34">
        <v>1</v>
      </c>
      <c r="AD15" s="34">
        <v>1</v>
      </c>
      <c r="AE15" s="137">
        <f>+ROUND(AD15*AC15*V15*U15,0)</f>
        <v>5850000</v>
      </c>
      <c r="AF15" s="34">
        <v>1</v>
      </c>
      <c r="AG15" s="34">
        <v>1</v>
      </c>
      <c r="AH15" s="137">
        <f>+ROUND(AF15*AG15*U15*V15,0)</f>
        <v>5850000</v>
      </c>
      <c r="AI15" s="34">
        <v>1</v>
      </c>
      <c r="AJ15" s="34">
        <v>1</v>
      </c>
      <c r="AK15" s="137">
        <f t="shared" ref="AK15:AK24" si="4">+ROUND(AI15*AJ15*U15*V15,0)</f>
        <v>5850000</v>
      </c>
      <c r="AL15" s="157">
        <f>+Z15*AA15+AC15*AD15+AF15*AG15+AI15*AJ15</f>
        <v>4</v>
      </c>
      <c r="AM15" s="329">
        <f>+AB15+AE15+AH15+AK15</f>
        <v>23400000</v>
      </c>
      <c r="AO15" s="171"/>
      <c r="AP15" s="199"/>
    </row>
    <row r="16" spans="1:42" s="170" customFormat="1" ht="27.5" x14ac:dyDescent="0.25">
      <c r="A16" s="322" t="s">
        <v>36</v>
      </c>
      <c r="B16" s="323" t="s">
        <v>35</v>
      </c>
      <c r="C16" s="324">
        <v>4400000</v>
      </c>
      <c r="D16" s="325">
        <v>1</v>
      </c>
      <c r="E16" s="34">
        <v>1</v>
      </c>
      <c r="F16" s="34">
        <v>9</v>
      </c>
      <c r="G16" s="137">
        <f t="shared" si="0"/>
        <v>39600000</v>
      </c>
      <c r="H16" s="326" t="s">
        <v>35</v>
      </c>
      <c r="I16" s="324">
        <v>4400000</v>
      </c>
      <c r="J16" s="325">
        <v>1</v>
      </c>
      <c r="K16" s="34">
        <v>0</v>
      </c>
      <c r="L16" s="34">
        <v>0</v>
      </c>
      <c r="M16" s="137">
        <f t="shared" si="1"/>
        <v>0</v>
      </c>
      <c r="N16" s="326" t="s">
        <v>35</v>
      </c>
      <c r="O16" s="324">
        <v>4400000</v>
      </c>
      <c r="P16" s="325">
        <v>1</v>
      </c>
      <c r="Q16" s="34">
        <v>0</v>
      </c>
      <c r="R16" s="34">
        <v>0</v>
      </c>
      <c r="S16" s="327">
        <f t="shared" si="2"/>
        <v>0</v>
      </c>
      <c r="T16" s="328" t="s">
        <v>35</v>
      </c>
      <c r="U16" s="324">
        <v>4400000</v>
      </c>
      <c r="V16" s="325">
        <v>1</v>
      </c>
      <c r="W16" s="34">
        <f t="shared" ref="W16:W24" si="5">+E16+K16+Q16</f>
        <v>1</v>
      </c>
      <c r="X16" s="34">
        <f t="shared" ref="X16:X24" si="6">+F16+L16+R16</f>
        <v>9</v>
      </c>
      <c r="Y16" s="137">
        <f t="shared" si="3"/>
        <v>39600000</v>
      </c>
      <c r="Z16" s="34">
        <v>1</v>
      </c>
      <c r="AA16" s="34">
        <v>1</v>
      </c>
      <c r="AB16" s="137">
        <f t="shared" ref="AB16:AB24" si="7">ROUND(U16*V16*Z16*AA16,0)</f>
        <v>4400000</v>
      </c>
      <c r="AC16" s="34">
        <v>1</v>
      </c>
      <c r="AD16" s="34">
        <v>1</v>
      </c>
      <c r="AE16" s="137">
        <f t="shared" ref="AE16:AE24" si="8">+ROUND(AD16*AC16*V16*U16,0)</f>
        <v>4400000</v>
      </c>
      <c r="AF16" s="34">
        <v>1</v>
      </c>
      <c r="AG16" s="34">
        <v>1</v>
      </c>
      <c r="AH16" s="137">
        <f t="shared" ref="AH16:AH23" si="9">+ROUND(AF16*AG16*U16*V16,0)</f>
        <v>4400000</v>
      </c>
      <c r="AI16" s="34">
        <v>1</v>
      </c>
      <c r="AJ16" s="34">
        <v>1</v>
      </c>
      <c r="AK16" s="137">
        <f t="shared" si="4"/>
        <v>4400000</v>
      </c>
      <c r="AL16" s="157">
        <f t="shared" ref="AL16:AL27" si="10">+Z16*AA16+AC16*AD16+AF16*AG16+AI16*AJ16</f>
        <v>4</v>
      </c>
      <c r="AM16" s="329">
        <f t="shared" ref="AM16:AM27" si="11">+AB16+AE16+AH16+AK16</f>
        <v>17600000</v>
      </c>
      <c r="AO16" s="171"/>
      <c r="AP16" s="199"/>
    </row>
    <row r="17" spans="1:44" s="170" customFormat="1" ht="27.5" x14ac:dyDescent="0.25">
      <c r="A17" s="322" t="s">
        <v>36</v>
      </c>
      <c r="B17" s="323" t="s">
        <v>35</v>
      </c>
      <c r="C17" s="324">
        <v>4400000</v>
      </c>
      <c r="D17" s="325">
        <v>1</v>
      </c>
      <c r="E17" s="34">
        <v>1</v>
      </c>
      <c r="F17" s="34">
        <v>9</v>
      </c>
      <c r="G17" s="137">
        <f t="shared" si="0"/>
        <v>39600000</v>
      </c>
      <c r="H17" s="326" t="s">
        <v>35</v>
      </c>
      <c r="I17" s="324">
        <v>4400000</v>
      </c>
      <c r="J17" s="325">
        <v>1</v>
      </c>
      <c r="K17" s="34">
        <v>0</v>
      </c>
      <c r="L17" s="34">
        <v>0</v>
      </c>
      <c r="M17" s="137">
        <f t="shared" si="1"/>
        <v>0</v>
      </c>
      <c r="N17" s="326" t="s">
        <v>35</v>
      </c>
      <c r="O17" s="324">
        <v>4400000</v>
      </c>
      <c r="P17" s="325">
        <v>1</v>
      </c>
      <c r="Q17" s="34">
        <v>0</v>
      </c>
      <c r="R17" s="34">
        <v>0</v>
      </c>
      <c r="S17" s="327">
        <f t="shared" si="2"/>
        <v>0</v>
      </c>
      <c r="T17" s="328" t="s">
        <v>35</v>
      </c>
      <c r="U17" s="324">
        <v>4400000</v>
      </c>
      <c r="V17" s="325">
        <v>1</v>
      </c>
      <c r="W17" s="34">
        <f t="shared" si="5"/>
        <v>1</v>
      </c>
      <c r="X17" s="34">
        <f t="shared" si="6"/>
        <v>9</v>
      </c>
      <c r="Y17" s="137">
        <f t="shared" si="3"/>
        <v>39600000</v>
      </c>
      <c r="Z17" s="34">
        <v>1</v>
      </c>
      <c r="AA17" s="34">
        <v>1</v>
      </c>
      <c r="AB17" s="137">
        <f t="shared" si="7"/>
        <v>4400000</v>
      </c>
      <c r="AC17" s="34">
        <v>1</v>
      </c>
      <c r="AD17" s="34">
        <v>1</v>
      </c>
      <c r="AE17" s="137">
        <f t="shared" si="8"/>
        <v>4400000</v>
      </c>
      <c r="AF17" s="34">
        <v>1</v>
      </c>
      <c r="AG17" s="34">
        <v>1</v>
      </c>
      <c r="AH17" s="137">
        <f t="shared" si="9"/>
        <v>4400000</v>
      </c>
      <c r="AI17" s="34">
        <v>1</v>
      </c>
      <c r="AJ17" s="34">
        <v>0</v>
      </c>
      <c r="AK17" s="137">
        <f t="shared" si="4"/>
        <v>0</v>
      </c>
      <c r="AL17" s="157">
        <f t="shared" si="10"/>
        <v>3</v>
      </c>
      <c r="AM17" s="329">
        <f t="shared" si="11"/>
        <v>13200000</v>
      </c>
      <c r="AO17" s="171"/>
      <c r="AP17" s="199"/>
    </row>
    <row r="18" spans="1:44" s="170" customFormat="1" ht="27.5" x14ac:dyDescent="0.25">
      <c r="A18" s="322" t="s">
        <v>36</v>
      </c>
      <c r="B18" s="323" t="s">
        <v>35</v>
      </c>
      <c r="C18" s="324">
        <v>4400000</v>
      </c>
      <c r="D18" s="325">
        <v>1</v>
      </c>
      <c r="E18" s="34">
        <v>1</v>
      </c>
      <c r="F18" s="34">
        <v>9</v>
      </c>
      <c r="G18" s="137">
        <f t="shared" ref="G18" si="12">+E18*C18*D18*F18</f>
        <v>39600000</v>
      </c>
      <c r="H18" s="326" t="s">
        <v>35</v>
      </c>
      <c r="I18" s="324">
        <v>4400000</v>
      </c>
      <c r="J18" s="325">
        <v>1</v>
      </c>
      <c r="K18" s="34">
        <v>0</v>
      </c>
      <c r="L18" s="34">
        <v>0</v>
      </c>
      <c r="M18" s="137">
        <f t="shared" ref="M18" si="13">+K18*I18*J18*L18</f>
        <v>0</v>
      </c>
      <c r="N18" s="326" t="s">
        <v>35</v>
      </c>
      <c r="O18" s="324">
        <v>4400000</v>
      </c>
      <c r="P18" s="325">
        <v>1</v>
      </c>
      <c r="Q18" s="34">
        <v>0</v>
      </c>
      <c r="R18" s="34">
        <v>0</v>
      </c>
      <c r="S18" s="327">
        <f t="shared" ref="S18" si="14">+Q18*O18*P18*R18</f>
        <v>0</v>
      </c>
      <c r="T18" s="328" t="s">
        <v>35</v>
      </c>
      <c r="U18" s="324">
        <v>4400000</v>
      </c>
      <c r="V18" s="325">
        <v>1</v>
      </c>
      <c r="W18" s="34">
        <f t="shared" ref="W18" si="15">+E18+K18+Q18</f>
        <v>1</v>
      </c>
      <c r="X18" s="34">
        <f t="shared" ref="X18" si="16">+F18+L18+R18</f>
        <v>9</v>
      </c>
      <c r="Y18" s="137">
        <f t="shared" ref="Y18" si="17">+G18</f>
        <v>39600000</v>
      </c>
      <c r="Z18" s="34">
        <v>1</v>
      </c>
      <c r="AA18" s="34">
        <v>1</v>
      </c>
      <c r="AB18" s="137">
        <f t="shared" si="7"/>
        <v>4400000</v>
      </c>
      <c r="AC18" s="34">
        <v>1</v>
      </c>
      <c r="AD18" s="34">
        <v>1</v>
      </c>
      <c r="AE18" s="137">
        <f t="shared" si="8"/>
        <v>4400000</v>
      </c>
      <c r="AF18" s="34">
        <v>1</v>
      </c>
      <c r="AG18" s="34">
        <v>1</v>
      </c>
      <c r="AH18" s="137">
        <f t="shared" si="9"/>
        <v>4400000</v>
      </c>
      <c r="AI18" s="34">
        <v>1</v>
      </c>
      <c r="AJ18" s="34">
        <v>0</v>
      </c>
      <c r="AK18" s="137">
        <f t="shared" si="4"/>
        <v>0</v>
      </c>
      <c r="AL18" s="157">
        <f t="shared" si="10"/>
        <v>3</v>
      </c>
      <c r="AM18" s="329">
        <f t="shared" si="11"/>
        <v>13200000</v>
      </c>
      <c r="AO18" s="171"/>
      <c r="AP18" s="199"/>
    </row>
    <row r="19" spans="1:44" s="170" customFormat="1" ht="27.5" x14ac:dyDescent="0.25">
      <c r="A19" s="322" t="s">
        <v>37</v>
      </c>
      <c r="B19" s="323" t="s">
        <v>35</v>
      </c>
      <c r="C19" s="324">
        <v>3900000</v>
      </c>
      <c r="D19" s="325">
        <v>1</v>
      </c>
      <c r="E19" s="34">
        <v>1</v>
      </c>
      <c r="F19" s="34">
        <v>8</v>
      </c>
      <c r="G19" s="137">
        <f t="shared" si="0"/>
        <v>31200000</v>
      </c>
      <c r="H19" s="326" t="s">
        <v>35</v>
      </c>
      <c r="I19" s="324">
        <v>3900000</v>
      </c>
      <c r="J19" s="325">
        <v>1</v>
      </c>
      <c r="K19" s="34">
        <v>0</v>
      </c>
      <c r="L19" s="34">
        <v>0</v>
      </c>
      <c r="M19" s="137">
        <f t="shared" si="1"/>
        <v>0</v>
      </c>
      <c r="N19" s="326" t="s">
        <v>35</v>
      </c>
      <c r="O19" s="324">
        <v>3900000</v>
      </c>
      <c r="P19" s="325">
        <v>1</v>
      </c>
      <c r="Q19" s="34">
        <v>0</v>
      </c>
      <c r="R19" s="34">
        <v>0</v>
      </c>
      <c r="S19" s="327">
        <f t="shared" si="2"/>
        <v>0</v>
      </c>
      <c r="T19" s="328" t="s">
        <v>35</v>
      </c>
      <c r="U19" s="324">
        <v>3900000</v>
      </c>
      <c r="V19" s="325">
        <v>1</v>
      </c>
      <c r="W19" s="34">
        <f t="shared" si="5"/>
        <v>1</v>
      </c>
      <c r="X19" s="34">
        <f t="shared" si="6"/>
        <v>8</v>
      </c>
      <c r="Y19" s="137">
        <f t="shared" si="3"/>
        <v>31200000</v>
      </c>
      <c r="Z19" s="34">
        <f>+E19</f>
        <v>1</v>
      </c>
      <c r="AA19" s="34">
        <v>1</v>
      </c>
      <c r="AB19" s="137">
        <f t="shared" si="7"/>
        <v>3900000</v>
      </c>
      <c r="AC19" s="34">
        <v>1</v>
      </c>
      <c r="AD19" s="34">
        <v>1</v>
      </c>
      <c r="AE19" s="137">
        <f t="shared" si="8"/>
        <v>3900000</v>
      </c>
      <c r="AF19" s="34">
        <v>1</v>
      </c>
      <c r="AG19" s="34">
        <v>1</v>
      </c>
      <c r="AH19" s="137">
        <f t="shared" si="9"/>
        <v>3900000</v>
      </c>
      <c r="AI19" s="34">
        <v>1</v>
      </c>
      <c r="AJ19" s="34">
        <v>1</v>
      </c>
      <c r="AK19" s="137">
        <f t="shared" si="4"/>
        <v>3900000</v>
      </c>
      <c r="AL19" s="157">
        <f t="shared" si="10"/>
        <v>4</v>
      </c>
      <c r="AM19" s="329">
        <f t="shared" si="11"/>
        <v>15600000</v>
      </c>
      <c r="AO19" s="171"/>
      <c r="AP19" s="199"/>
    </row>
    <row r="20" spans="1:44" s="170" customFormat="1" ht="27.5" x14ac:dyDescent="0.25">
      <c r="A20" s="322" t="s">
        <v>57</v>
      </c>
      <c r="B20" s="323" t="s">
        <v>35</v>
      </c>
      <c r="C20" s="324">
        <v>2800000</v>
      </c>
      <c r="D20" s="325">
        <v>1</v>
      </c>
      <c r="E20" s="34">
        <v>2</v>
      </c>
      <c r="F20" s="34">
        <v>8</v>
      </c>
      <c r="G20" s="137">
        <f t="shared" si="0"/>
        <v>44800000</v>
      </c>
      <c r="H20" s="326" t="s">
        <v>35</v>
      </c>
      <c r="I20" s="324">
        <v>2800000</v>
      </c>
      <c r="J20" s="325">
        <v>1</v>
      </c>
      <c r="K20" s="34">
        <v>0</v>
      </c>
      <c r="L20" s="34">
        <v>0</v>
      </c>
      <c r="M20" s="137">
        <f t="shared" si="1"/>
        <v>0</v>
      </c>
      <c r="N20" s="326" t="s">
        <v>35</v>
      </c>
      <c r="O20" s="324">
        <v>2800000</v>
      </c>
      <c r="P20" s="325">
        <v>1</v>
      </c>
      <c r="Q20" s="34">
        <v>0</v>
      </c>
      <c r="R20" s="34">
        <v>0</v>
      </c>
      <c r="S20" s="327">
        <f t="shared" si="2"/>
        <v>0</v>
      </c>
      <c r="T20" s="328" t="s">
        <v>35</v>
      </c>
      <c r="U20" s="324">
        <v>2800000</v>
      </c>
      <c r="V20" s="325">
        <v>1</v>
      </c>
      <c r="W20" s="34">
        <f t="shared" si="5"/>
        <v>2</v>
      </c>
      <c r="X20" s="34">
        <f t="shared" si="6"/>
        <v>8</v>
      </c>
      <c r="Y20" s="137">
        <f t="shared" si="3"/>
        <v>44800000</v>
      </c>
      <c r="Z20" s="34">
        <v>1</v>
      </c>
      <c r="AA20" s="34">
        <v>2</v>
      </c>
      <c r="AB20" s="137">
        <f t="shared" si="7"/>
        <v>5600000</v>
      </c>
      <c r="AC20" s="34">
        <v>1</v>
      </c>
      <c r="AD20" s="34">
        <v>2</v>
      </c>
      <c r="AE20" s="137">
        <f t="shared" si="8"/>
        <v>5600000</v>
      </c>
      <c r="AF20" s="34">
        <v>1</v>
      </c>
      <c r="AG20" s="34">
        <v>2</v>
      </c>
      <c r="AH20" s="137">
        <f t="shared" si="9"/>
        <v>5600000</v>
      </c>
      <c r="AI20" s="34">
        <v>1</v>
      </c>
      <c r="AJ20" s="34">
        <v>0</v>
      </c>
      <c r="AK20" s="137">
        <f t="shared" si="4"/>
        <v>0</v>
      </c>
      <c r="AL20" s="157">
        <f t="shared" si="10"/>
        <v>6</v>
      </c>
      <c r="AM20" s="329">
        <f t="shared" si="11"/>
        <v>16800000</v>
      </c>
      <c r="AO20" s="171"/>
      <c r="AP20" s="199"/>
    </row>
    <row r="21" spans="1:44" s="170" customFormat="1" ht="27.5" x14ac:dyDescent="0.25">
      <c r="A21" s="322" t="s">
        <v>58</v>
      </c>
      <c r="B21" s="323" t="s">
        <v>35</v>
      </c>
      <c r="C21" s="324">
        <v>3900000</v>
      </c>
      <c r="D21" s="325">
        <v>1</v>
      </c>
      <c r="E21" s="34">
        <v>1</v>
      </c>
      <c r="F21" s="34">
        <v>8</v>
      </c>
      <c r="G21" s="137">
        <f t="shared" si="0"/>
        <v>31200000</v>
      </c>
      <c r="H21" s="326" t="s">
        <v>35</v>
      </c>
      <c r="I21" s="324">
        <v>3900000</v>
      </c>
      <c r="J21" s="325">
        <v>1</v>
      </c>
      <c r="K21" s="34">
        <v>0</v>
      </c>
      <c r="L21" s="34">
        <v>0</v>
      </c>
      <c r="M21" s="137">
        <f t="shared" si="1"/>
        <v>0</v>
      </c>
      <c r="N21" s="326" t="s">
        <v>35</v>
      </c>
      <c r="O21" s="324">
        <v>3900000</v>
      </c>
      <c r="P21" s="325">
        <v>1</v>
      </c>
      <c r="Q21" s="34">
        <v>0</v>
      </c>
      <c r="R21" s="34">
        <v>0</v>
      </c>
      <c r="S21" s="327">
        <f t="shared" si="2"/>
        <v>0</v>
      </c>
      <c r="T21" s="328" t="s">
        <v>35</v>
      </c>
      <c r="U21" s="324">
        <v>3900000</v>
      </c>
      <c r="V21" s="325">
        <v>1</v>
      </c>
      <c r="W21" s="34">
        <f t="shared" si="5"/>
        <v>1</v>
      </c>
      <c r="X21" s="34">
        <f t="shared" si="6"/>
        <v>8</v>
      </c>
      <c r="Y21" s="137">
        <f t="shared" si="3"/>
        <v>31200000</v>
      </c>
      <c r="Z21" s="34">
        <f>+E21</f>
        <v>1</v>
      </c>
      <c r="AA21" s="34">
        <v>1</v>
      </c>
      <c r="AB21" s="137">
        <f t="shared" si="7"/>
        <v>3900000</v>
      </c>
      <c r="AC21" s="34">
        <v>1</v>
      </c>
      <c r="AD21" s="34">
        <v>1</v>
      </c>
      <c r="AE21" s="137">
        <f t="shared" si="8"/>
        <v>3900000</v>
      </c>
      <c r="AF21" s="34">
        <v>1</v>
      </c>
      <c r="AG21" s="34">
        <v>1</v>
      </c>
      <c r="AH21" s="137">
        <f t="shared" si="9"/>
        <v>3900000</v>
      </c>
      <c r="AI21" s="34">
        <v>1</v>
      </c>
      <c r="AJ21" s="34">
        <v>1</v>
      </c>
      <c r="AK21" s="137">
        <f t="shared" si="4"/>
        <v>3900000</v>
      </c>
      <c r="AL21" s="157">
        <f t="shared" si="10"/>
        <v>4</v>
      </c>
      <c r="AM21" s="329">
        <f t="shared" si="11"/>
        <v>15600000</v>
      </c>
      <c r="AO21" s="171"/>
      <c r="AP21" s="199"/>
    </row>
    <row r="22" spans="1:44" s="170" customFormat="1" ht="27.5" x14ac:dyDescent="0.25">
      <c r="A22" s="322" t="s">
        <v>59</v>
      </c>
      <c r="B22" s="323" t="s">
        <v>35</v>
      </c>
      <c r="C22" s="324">
        <v>3000000</v>
      </c>
      <c r="D22" s="325">
        <v>1</v>
      </c>
      <c r="E22" s="34">
        <v>2</v>
      </c>
      <c r="F22" s="34">
        <v>8</v>
      </c>
      <c r="G22" s="137">
        <f t="shared" si="0"/>
        <v>48000000</v>
      </c>
      <c r="H22" s="326" t="s">
        <v>35</v>
      </c>
      <c r="I22" s="324">
        <v>3000000</v>
      </c>
      <c r="J22" s="325">
        <v>1</v>
      </c>
      <c r="K22" s="34">
        <v>0</v>
      </c>
      <c r="L22" s="34">
        <v>0</v>
      </c>
      <c r="M22" s="137">
        <f t="shared" si="1"/>
        <v>0</v>
      </c>
      <c r="N22" s="326" t="s">
        <v>35</v>
      </c>
      <c r="O22" s="324">
        <v>3000000</v>
      </c>
      <c r="P22" s="325">
        <v>1</v>
      </c>
      <c r="Q22" s="34">
        <v>0</v>
      </c>
      <c r="R22" s="34">
        <v>0</v>
      </c>
      <c r="S22" s="327">
        <f t="shared" si="2"/>
        <v>0</v>
      </c>
      <c r="T22" s="328" t="s">
        <v>35</v>
      </c>
      <c r="U22" s="324">
        <v>3000000</v>
      </c>
      <c r="V22" s="325">
        <v>1</v>
      </c>
      <c r="W22" s="34">
        <f t="shared" si="5"/>
        <v>2</v>
      </c>
      <c r="X22" s="34">
        <f t="shared" si="6"/>
        <v>8</v>
      </c>
      <c r="Y22" s="137">
        <f t="shared" si="3"/>
        <v>48000000</v>
      </c>
      <c r="Z22" s="34">
        <v>1</v>
      </c>
      <c r="AA22" s="34">
        <v>2</v>
      </c>
      <c r="AB22" s="137">
        <f t="shared" si="7"/>
        <v>6000000</v>
      </c>
      <c r="AC22" s="34">
        <v>1</v>
      </c>
      <c r="AD22" s="34">
        <v>2</v>
      </c>
      <c r="AE22" s="137">
        <f t="shared" si="8"/>
        <v>6000000</v>
      </c>
      <c r="AF22" s="34">
        <v>1</v>
      </c>
      <c r="AG22" s="34">
        <v>2</v>
      </c>
      <c r="AH22" s="137">
        <f t="shared" si="9"/>
        <v>6000000</v>
      </c>
      <c r="AI22" s="34">
        <v>1</v>
      </c>
      <c r="AJ22" s="34">
        <v>0</v>
      </c>
      <c r="AK22" s="137">
        <f t="shared" si="4"/>
        <v>0</v>
      </c>
      <c r="AL22" s="157">
        <f t="shared" si="10"/>
        <v>6</v>
      </c>
      <c r="AM22" s="329">
        <f t="shared" si="11"/>
        <v>18000000</v>
      </c>
      <c r="AO22" s="171"/>
      <c r="AP22" s="199"/>
    </row>
    <row r="23" spans="1:44" s="170" customFormat="1" ht="27.5" x14ac:dyDescent="0.25">
      <c r="A23" s="322" t="s">
        <v>60</v>
      </c>
      <c r="B23" s="323" t="s">
        <v>35</v>
      </c>
      <c r="C23" s="324">
        <v>3400000</v>
      </c>
      <c r="D23" s="325">
        <v>1</v>
      </c>
      <c r="E23" s="34">
        <v>1</v>
      </c>
      <c r="F23" s="34">
        <v>8</v>
      </c>
      <c r="G23" s="137">
        <f t="shared" si="0"/>
        <v>27200000</v>
      </c>
      <c r="H23" s="326" t="s">
        <v>35</v>
      </c>
      <c r="I23" s="324">
        <v>3400000</v>
      </c>
      <c r="J23" s="325">
        <v>1</v>
      </c>
      <c r="K23" s="34">
        <v>0</v>
      </c>
      <c r="L23" s="34">
        <v>0</v>
      </c>
      <c r="M23" s="324">
        <f t="shared" si="1"/>
        <v>0</v>
      </c>
      <c r="N23" s="323" t="s">
        <v>35</v>
      </c>
      <c r="O23" s="324">
        <v>3400000</v>
      </c>
      <c r="P23" s="325">
        <v>1</v>
      </c>
      <c r="Q23" s="34">
        <v>0</v>
      </c>
      <c r="R23" s="34">
        <v>0</v>
      </c>
      <c r="S23" s="327">
        <f t="shared" si="2"/>
        <v>0</v>
      </c>
      <c r="T23" s="328" t="s">
        <v>35</v>
      </c>
      <c r="U23" s="324">
        <v>3400000</v>
      </c>
      <c r="V23" s="325">
        <v>1</v>
      </c>
      <c r="W23" s="34">
        <f t="shared" si="5"/>
        <v>1</v>
      </c>
      <c r="X23" s="34">
        <f t="shared" si="6"/>
        <v>8</v>
      </c>
      <c r="Y23" s="137">
        <f t="shared" si="3"/>
        <v>27200000</v>
      </c>
      <c r="Z23" s="34">
        <f>+E23</f>
        <v>1</v>
      </c>
      <c r="AA23" s="34">
        <v>1</v>
      </c>
      <c r="AB23" s="137">
        <f t="shared" si="7"/>
        <v>3400000</v>
      </c>
      <c r="AC23" s="34">
        <v>1</v>
      </c>
      <c r="AD23" s="34">
        <v>1</v>
      </c>
      <c r="AE23" s="137">
        <f t="shared" si="8"/>
        <v>3400000</v>
      </c>
      <c r="AF23" s="34">
        <v>1</v>
      </c>
      <c r="AG23" s="34">
        <v>1</v>
      </c>
      <c r="AH23" s="137">
        <f t="shared" si="9"/>
        <v>3400000</v>
      </c>
      <c r="AI23" s="34">
        <v>1</v>
      </c>
      <c r="AJ23" s="34">
        <v>1</v>
      </c>
      <c r="AK23" s="137">
        <f t="shared" si="4"/>
        <v>3400000</v>
      </c>
      <c r="AL23" s="157">
        <f t="shared" si="10"/>
        <v>4</v>
      </c>
      <c r="AM23" s="329">
        <f t="shared" si="11"/>
        <v>13600000</v>
      </c>
      <c r="AO23" s="171"/>
      <c r="AP23" s="199"/>
    </row>
    <row r="24" spans="1:44" s="170" customFormat="1" ht="27.5" x14ac:dyDescent="0.25">
      <c r="A24" s="322" t="s">
        <v>61</v>
      </c>
      <c r="B24" s="323" t="s">
        <v>35</v>
      </c>
      <c r="C24" s="324">
        <v>2600000</v>
      </c>
      <c r="D24" s="325">
        <v>1</v>
      </c>
      <c r="E24" s="34">
        <v>4</v>
      </c>
      <c r="F24" s="34">
        <v>8</v>
      </c>
      <c r="G24" s="137">
        <f t="shared" si="0"/>
        <v>83200000</v>
      </c>
      <c r="H24" s="326" t="s">
        <v>35</v>
      </c>
      <c r="I24" s="324">
        <v>2600000</v>
      </c>
      <c r="J24" s="325">
        <v>1</v>
      </c>
      <c r="K24" s="34">
        <v>0</v>
      </c>
      <c r="L24" s="34">
        <v>0</v>
      </c>
      <c r="M24" s="324">
        <f t="shared" si="1"/>
        <v>0</v>
      </c>
      <c r="N24" s="323" t="s">
        <v>35</v>
      </c>
      <c r="O24" s="324">
        <v>2600000</v>
      </c>
      <c r="P24" s="325">
        <v>1</v>
      </c>
      <c r="Q24" s="34">
        <v>0</v>
      </c>
      <c r="R24" s="34">
        <v>0</v>
      </c>
      <c r="S24" s="327">
        <f t="shared" si="2"/>
        <v>0</v>
      </c>
      <c r="T24" s="328" t="s">
        <v>35</v>
      </c>
      <c r="U24" s="324">
        <v>2600000</v>
      </c>
      <c r="V24" s="325">
        <v>1</v>
      </c>
      <c r="W24" s="34">
        <f t="shared" si="5"/>
        <v>4</v>
      </c>
      <c r="X24" s="34">
        <f t="shared" si="6"/>
        <v>8</v>
      </c>
      <c r="Y24" s="137">
        <f t="shared" si="3"/>
        <v>83200000</v>
      </c>
      <c r="Z24" s="34">
        <v>1</v>
      </c>
      <c r="AA24" s="34">
        <v>4</v>
      </c>
      <c r="AB24" s="137">
        <f t="shared" si="7"/>
        <v>10400000</v>
      </c>
      <c r="AC24" s="34">
        <v>1</v>
      </c>
      <c r="AD24" s="34">
        <v>4</v>
      </c>
      <c r="AE24" s="137">
        <f t="shared" si="8"/>
        <v>10400000</v>
      </c>
      <c r="AF24" s="34">
        <v>1</v>
      </c>
      <c r="AG24" s="34">
        <v>4</v>
      </c>
      <c r="AH24" s="137">
        <f>+ROUND(AF24*AG24*U24*V24,0)</f>
        <v>10400000</v>
      </c>
      <c r="AI24" s="34">
        <v>1</v>
      </c>
      <c r="AJ24" s="34">
        <v>0</v>
      </c>
      <c r="AK24" s="137">
        <f t="shared" si="4"/>
        <v>0</v>
      </c>
      <c r="AL24" s="157">
        <f t="shared" si="10"/>
        <v>12</v>
      </c>
      <c r="AM24" s="329">
        <f t="shared" si="11"/>
        <v>31200000</v>
      </c>
      <c r="AO24" s="171"/>
      <c r="AP24" s="199"/>
    </row>
    <row r="25" spans="1:44" s="170" customFormat="1" ht="27.5" x14ac:dyDescent="0.25">
      <c r="A25" s="322"/>
      <c r="B25" s="323"/>
      <c r="C25" s="324"/>
      <c r="D25" s="325"/>
      <c r="E25" s="34"/>
      <c r="F25" s="34"/>
      <c r="G25" s="137"/>
      <c r="H25" s="326"/>
      <c r="I25" s="324"/>
      <c r="J25" s="325"/>
      <c r="K25" s="34"/>
      <c r="L25" s="34"/>
      <c r="M25" s="324"/>
      <c r="N25" s="323"/>
      <c r="O25" s="324"/>
      <c r="P25" s="325"/>
      <c r="Q25" s="34"/>
      <c r="R25" s="34"/>
      <c r="S25" s="327"/>
      <c r="T25" s="328"/>
      <c r="U25" s="324"/>
      <c r="V25" s="325"/>
      <c r="W25" s="34"/>
      <c r="X25" s="34"/>
      <c r="Y25" s="137"/>
      <c r="Z25" s="34"/>
      <c r="AA25" s="34"/>
      <c r="AB25" s="330"/>
      <c r="AC25" s="34"/>
      <c r="AD25" s="34"/>
      <c r="AE25" s="137"/>
      <c r="AF25" s="34"/>
      <c r="AG25" s="34"/>
      <c r="AH25" s="137"/>
      <c r="AI25" s="34"/>
      <c r="AJ25" s="34"/>
      <c r="AK25" s="137"/>
      <c r="AL25" s="157">
        <f t="shared" si="10"/>
        <v>0</v>
      </c>
      <c r="AM25" s="329">
        <f t="shared" si="11"/>
        <v>0</v>
      </c>
      <c r="AO25" s="171"/>
      <c r="AP25" s="199"/>
    </row>
    <row r="26" spans="1:44" ht="28" x14ac:dyDescent="0.45">
      <c r="A26" s="331" t="s">
        <v>38</v>
      </c>
      <c r="B26" s="332"/>
      <c r="C26" s="324"/>
      <c r="D26" s="333"/>
      <c r="E26" s="332"/>
      <c r="F26" s="332"/>
      <c r="G26" s="334"/>
      <c r="H26" s="335"/>
      <c r="I26" s="324"/>
      <c r="J26" s="333"/>
      <c r="K26" s="332"/>
      <c r="L26" s="332"/>
      <c r="M26" s="332"/>
      <c r="N26" s="332"/>
      <c r="O26" s="324"/>
      <c r="P26" s="333"/>
      <c r="Q26" s="332"/>
      <c r="R26" s="332"/>
      <c r="S26" s="336"/>
      <c r="T26" s="337"/>
      <c r="U26" s="324"/>
      <c r="V26" s="333"/>
      <c r="W26" s="332"/>
      <c r="X26" s="34"/>
      <c r="Y26" s="137"/>
      <c r="Z26" s="34"/>
      <c r="AA26" s="34"/>
      <c r="AB26" s="330"/>
      <c r="AC26" s="34"/>
      <c r="AD26" s="34"/>
      <c r="AE26" s="137"/>
      <c r="AF26" s="34"/>
      <c r="AG26" s="34"/>
      <c r="AH26" s="137"/>
      <c r="AI26" s="34"/>
      <c r="AJ26" s="35"/>
      <c r="AK26" s="137"/>
      <c r="AL26" s="157">
        <f t="shared" si="10"/>
        <v>0</v>
      </c>
      <c r="AM26" s="329">
        <f t="shared" si="11"/>
        <v>0</v>
      </c>
      <c r="AO26" s="171"/>
      <c r="AP26" s="199"/>
    </row>
    <row r="27" spans="1:44" ht="27.5" x14ac:dyDescent="0.45">
      <c r="A27" s="322" t="s">
        <v>62</v>
      </c>
      <c r="B27" s="35" t="s">
        <v>35</v>
      </c>
      <c r="C27" s="324">
        <v>1000000</v>
      </c>
      <c r="D27" s="325">
        <v>1</v>
      </c>
      <c r="E27" s="34">
        <v>1</v>
      </c>
      <c r="F27" s="34">
        <v>9</v>
      </c>
      <c r="G27" s="329">
        <f>+C27*D27*E27*F27</f>
        <v>9000000</v>
      </c>
      <c r="H27" s="338" t="s">
        <v>35</v>
      </c>
      <c r="I27" s="324">
        <v>1000000</v>
      </c>
      <c r="J27" s="325">
        <v>1</v>
      </c>
      <c r="K27" s="34">
        <v>0</v>
      </c>
      <c r="L27" s="34">
        <v>0</v>
      </c>
      <c r="M27" s="329">
        <f>+I27*J27*K27*L27</f>
        <v>0</v>
      </c>
      <c r="N27" s="338" t="s">
        <v>35</v>
      </c>
      <c r="O27" s="324">
        <v>1000000</v>
      </c>
      <c r="P27" s="325">
        <v>1</v>
      </c>
      <c r="Q27" s="34">
        <v>0</v>
      </c>
      <c r="R27" s="34">
        <v>0</v>
      </c>
      <c r="S27" s="339">
        <f>+O27*P27*Q27*R27</f>
        <v>0</v>
      </c>
      <c r="T27" s="340" t="s">
        <v>35</v>
      </c>
      <c r="U27" s="324">
        <v>1000000</v>
      </c>
      <c r="V27" s="325">
        <v>1</v>
      </c>
      <c r="W27" s="34">
        <f>+E27+K27+Q27</f>
        <v>1</v>
      </c>
      <c r="X27" s="34">
        <f>+F27+L27+R27</f>
        <v>9</v>
      </c>
      <c r="Y27" s="137">
        <f>+G27</f>
        <v>9000000</v>
      </c>
      <c r="Z27" s="34">
        <f>+E27</f>
        <v>1</v>
      </c>
      <c r="AA27" s="34">
        <v>1</v>
      </c>
      <c r="AB27" s="137">
        <f t="shared" ref="AB27" si="18">ROUND(U27*V27*Z27*AA27,0)</f>
        <v>1000000</v>
      </c>
      <c r="AC27" s="34">
        <v>1</v>
      </c>
      <c r="AD27" s="34">
        <v>1</v>
      </c>
      <c r="AE27" s="137">
        <f>+ROUND(AD27*AC27*V27*U27,0)</f>
        <v>1000000</v>
      </c>
      <c r="AF27" s="34">
        <v>1</v>
      </c>
      <c r="AG27" s="34">
        <v>1</v>
      </c>
      <c r="AH27" s="137">
        <f>+ROUND(AF27*AG27*U27*V27,0)</f>
        <v>1000000</v>
      </c>
      <c r="AI27" s="34">
        <v>1</v>
      </c>
      <c r="AJ27" s="34">
        <v>0.5</v>
      </c>
      <c r="AK27" s="137">
        <f>+ROUND(AI27*AJ27*U27*V27,0)</f>
        <v>500000</v>
      </c>
      <c r="AL27" s="157">
        <f t="shared" si="10"/>
        <v>3.5</v>
      </c>
      <c r="AM27" s="329">
        <f t="shared" si="11"/>
        <v>3500000</v>
      </c>
      <c r="AO27" s="171"/>
      <c r="AP27" s="199"/>
    </row>
    <row r="28" spans="1:44" ht="28.5" customHeight="1" x14ac:dyDescent="0.45">
      <c r="A28" s="310" t="s">
        <v>39</v>
      </c>
      <c r="B28" s="35"/>
      <c r="C28" s="341"/>
      <c r="D28" s="34"/>
      <c r="E28" s="34"/>
      <c r="F28" s="34"/>
      <c r="G28" s="329"/>
      <c r="H28" s="342"/>
      <c r="I28" s="35"/>
      <c r="J28" s="34"/>
      <c r="K28" s="34"/>
      <c r="L28" s="34"/>
      <c r="M28" s="329"/>
      <c r="N28" s="343"/>
      <c r="O28" s="35"/>
      <c r="P28" s="34"/>
      <c r="Q28" s="34"/>
      <c r="R28" s="34"/>
      <c r="S28" s="339"/>
      <c r="T28" s="340"/>
      <c r="U28" s="324"/>
      <c r="V28" s="34"/>
      <c r="W28" s="34"/>
      <c r="X28" s="34"/>
      <c r="Y28" s="329"/>
      <c r="Z28" s="34"/>
      <c r="AA28" s="344"/>
      <c r="AB28" s="137"/>
      <c r="AC28" s="34"/>
      <c r="AD28" s="35"/>
      <c r="AE28" s="137"/>
      <c r="AF28" s="34"/>
      <c r="AG28" s="34"/>
      <c r="AH28" s="137"/>
      <c r="AI28" s="34"/>
      <c r="AJ28" s="34"/>
      <c r="AK28" s="137"/>
      <c r="AL28" s="157"/>
      <c r="AM28" s="329"/>
      <c r="AO28" s="171" t="e">
        <f>+AL28*#REF!</f>
        <v>#REF!</v>
      </c>
      <c r="AP28" s="199"/>
    </row>
    <row r="29" spans="1:44" ht="39.75" customHeight="1" x14ac:dyDescent="0.45">
      <c r="A29" s="345" t="s">
        <v>41</v>
      </c>
      <c r="B29" s="346"/>
      <c r="C29" s="346"/>
      <c r="D29" s="346"/>
      <c r="E29" s="346"/>
      <c r="F29" s="346"/>
      <c r="G29" s="347">
        <f>+SUM(G15:G27)</f>
        <v>446050000</v>
      </c>
      <c r="H29" s="348"/>
      <c r="I29" s="349"/>
      <c r="J29" s="349"/>
      <c r="K29" s="349"/>
      <c r="L29" s="349"/>
      <c r="M29" s="347">
        <f>+SUM(M15:M27)</f>
        <v>0</v>
      </c>
      <c r="N29" s="350"/>
      <c r="O29" s="349"/>
      <c r="P29" s="349"/>
      <c r="Q29" s="349"/>
      <c r="R29" s="349"/>
      <c r="S29" s="351">
        <f>+SUM(S15:S27)</f>
        <v>0</v>
      </c>
      <c r="T29" s="350"/>
      <c r="U29" s="341"/>
      <c r="V29" s="34"/>
      <c r="W29" s="349"/>
      <c r="X29" s="352"/>
      <c r="Y29" s="347">
        <f>+SUM(Y15:Y27)</f>
        <v>446050000</v>
      </c>
      <c r="Z29" s="349"/>
      <c r="AA29" s="324"/>
      <c r="AB29" s="347">
        <f>+SUM(AB15:AB27)</f>
        <v>53250000</v>
      </c>
      <c r="AC29" s="349"/>
      <c r="AD29" s="324"/>
      <c r="AE29" s="347">
        <f>+SUM(AE15:AE27)</f>
        <v>53250000</v>
      </c>
      <c r="AF29" s="349"/>
      <c r="AG29" s="324"/>
      <c r="AH29" s="347">
        <f>+SUM(AH15:AH27)</f>
        <v>53250000</v>
      </c>
      <c r="AI29" s="353"/>
      <c r="AJ29" s="324"/>
      <c r="AK29" s="347">
        <f>+SUM(AK15:AK27)</f>
        <v>21950000</v>
      </c>
      <c r="AL29" s="157"/>
      <c r="AM29" s="347">
        <f>+SUM(AM15:AM27)</f>
        <v>181700000</v>
      </c>
      <c r="AO29" s="171" t="e">
        <f>+AL29*#REF!</f>
        <v>#REF!</v>
      </c>
      <c r="AP29" s="199"/>
    </row>
    <row r="30" spans="1:44" ht="39.75" customHeight="1" x14ac:dyDescent="0.45">
      <c r="A30" s="345" t="s">
        <v>42</v>
      </c>
      <c r="B30" s="346"/>
      <c r="C30" s="346"/>
      <c r="D30" s="346"/>
      <c r="E30" s="346"/>
      <c r="F30" s="346"/>
      <c r="G30" s="354">
        <v>2.1</v>
      </c>
      <c r="H30" s="355"/>
      <c r="I30" s="356"/>
      <c r="J30" s="356"/>
      <c r="K30" s="356"/>
      <c r="L30" s="356"/>
      <c r="M30" s="354">
        <v>2.1</v>
      </c>
      <c r="N30" s="357"/>
      <c r="O30" s="356"/>
      <c r="P30" s="356"/>
      <c r="Q30" s="356"/>
      <c r="R30" s="356"/>
      <c r="S30" s="358">
        <v>2.1</v>
      </c>
      <c r="T30" s="357"/>
      <c r="U30" s="359"/>
      <c r="V30" s="360"/>
      <c r="W30" s="356"/>
      <c r="X30" s="352"/>
      <c r="Y30" s="354">
        <f>+G30</f>
        <v>2.1</v>
      </c>
      <c r="Z30" s="361"/>
      <c r="AA30" s="324"/>
      <c r="AB30" s="354">
        <v>2.1</v>
      </c>
      <c r="AC30" s="361"/>
      <c r="AD30" s="324"/>
      <c r="AE30" s="354">
        <f>+AB30</f>
        <v>2.1</v>
      </c>
      <c r="AF30" s="356"/>
      <c r="AG30" s="324"/>
      <c r="AH30" s="354">
        <f>+AE30</f>
        <v>2.1</v>
      </c>
      <c r="AI30" s="362"/>
      <c r="AJ30" s="324"/>
      <c r="AK30" s="354">
        <f>+AH30</f>
        <v>2.1</v>
      </c>
      <c r="AL30" s="157"/>
      <c r="AM30" s="354">
        <v>2.1</v>
      </c>
      <c r="AO30" s="171" t="e">
        <f>+AL30*#REF!</f>
        <v>#REF!</v>
      </c>
      <c r="AP30" s="199"/>
      <c r="AR30" s="21"/>
    </row>
    <row r="31" spans="1:44" ht="39.75" customHeight="1" x14ac:dyDescent="0.45">
      <c r="A31" s="345" t="s">
        <v>43</v>
      </c>
      <c r="B31" s="346"/>
      <c r="C31" s="346"/>
      <c r="D31" s="346"/>
      <c r="E31" s="346"/>
      <c r="F31" s="346"/>
      <c r="G31" s="347">
        <f>+ROUND(G29*G30,0)</f>
        <v>936705000</v>
      </c>
      <c r="H31" s="363"/>
      <c r="I31" s="364"/>
      <c r="J31" s="364"/>
      <c r="K31" s="364"/>
      <c r="L31" s="364"/>
      <c r="M31" s="347">
        <f>+ROUND(M29*M30,0)</f>
        <v>0</v>
      </c>
      <c r="N31" s="365"/>
      <c r="O31" s="364"/>
      <c r="P31" s="364"/>
      <c r="Q31" s="364"/>
      <c r="R31" s="364"/>
      <c r="S31" s="347">
        <f>+ROUND(S29*S30,0)</f>
        <v>0</v>
      </c>
      <c r="T31" s="365"/>
      <c r="U31" s="341"/>
      <c r="V31" s="34"/>
      <c r="W31" s="364"/>
      <c r="X31" s="352"/>
      <c r="Y31" s="347">
        <f>+ROUND(Y29*Y30,0)</f>
        <v>936705000</v>
      </c>
      <c r="Z31" s="364"/>
      <c r="AA31" s="366"/>
      <c r="AB31" s="347">
        <f>+ROUND(AB29*AB30,0)</f>
        <v>111825000</v>
      </c>
      <c r="AC31" s="364"/>
      <c r="AD31" s="366"/>
      <c r="AE31" s="347">
        <f>+ROUND(AE29*AE30,0)</f>
        <v>111825000</v>
      </c>
      <c r="AF31" s="364"/>
      <c r="AG31" s="366"/>
      <c r="AH31" s="347">
        <f>+ROUND(AH29*AH30,0)</f>
        <v>111825000</v>
      </c>
      <c r="AI31" s="367"/>
      <c r="AJ31" s="366"/>
      <c r="AK31" s="347">
        <f>+ROUND(AK29*AK30,0)</f>
        <v>46095000</v>
      </c>
      <c r="AL31" s="157"/>
      <c r="AM31" s="368">
        <f>+AM29*AM30</f>
        <v>381570000</v>
      </c>
      <c r="AO31" s="171" t="e">
        <f>+AL31*#REF!</f>
        <v>#REF!</v>
      </c>
      <c r="AP31" s="199"/>
      <c r="AR31" s="172"/>
    </row>
    <row r="32" spans="1:44" ht="342.75" customHeight="1" x14ac:dyDescent="0.45">
      <c r="A32" s="369" t="s">
        <v>40</v>
      </c>
      <c r="B32" s="35" t="s">
        <v>49</v>
      </c>
      <c r="C32" s="341"/>
      <c r="D32" s="34"/>
      <c r="E32" s="34"/>
      <c r="F32" s="34"/>
      <c r="G32" s="329">
        <f>+'[1]ACTA 1'!$H$25</f>
        <v>4670000</v>
      </c>
      <c r="H32" s="342"/>
      <c r="I32" s="35"/>
      <c r="J32" s="34"/>
      <c r="K32" s="34"/>
      <c r="L32" s="35"/>
      <c r="M32" s="329">
        <v>0</v>
      </c>
      <c r="N32" s="343"/>
      <c r="O32" s="35"/>
      <c r="P32" s="34"/>
      <c r="Q32" s="34"/>
      <c r="R32" s="35"/>
      <c r="S32" s="339">
        <v>0</v>
      </c>
      <c r="T32" s="340"/>
      <c r="U32" s="341"/>
      <c r="V32" s="34"/>
      <c r="W32" s="34"/>
      <c r="X32" s="34"/>
      <c r="Y32" s="329">
        <f>+G32</f>
        <v>4670000</v>
      </c>
      <c r="Z32" s="34"/>
      <c r="AA32" s="344"/>
      <c r="AB32" s="137">
        <v>5000000</v>
      </c>
      <c r="AC32" s="34"/>
      <c r="AD32" s="35"/>
      <c r="AE32" s="137">
        <v>5000000</v>
      </c>
      <c r="AF32" s="34"/>
      <c r="AG32" s="34"/>
      <c r="AH32" s="137">
        <v>5000000</v>
      </c>
      <c r="AI32" s="34"/>
      <c r="AJ32" s="34"/>
      <c r="AK32" s="137">
        <v>0</v>
      </c>
      <c r="AL32" s="157"/>
      <c r="AM32" s="329">
        <f>+AB32+AE32+AH32+AK32</f>
        <v>15000000</v>
      </c>
      <c r="AO32" s="171"/>
      <c r="AP32" s="199"/>
    </row>
    <row r="33" spans="1:45" ht="99" customHeight="1" x14ac:dyDescent="0.45">
      <c r="A33" s="369" t="str">
        <f>+'[1]ACTA 1'!$B$26</f>
        <v>Gastos de alojamiento, transporte y almentación, se reconocerán según su costo real y contra factura</v>
      </c>
      <c r="B33" s="35" t="s">
        <v>49</v>
      </c>
      <c r="C33" s="341"/>
      <c r="D33" s="34"/>
      <c r="E33" s="34"/>
      <c r="F33" s="34"/>
      <c r="G33" s="329">
        <v>27500000</v>
      </c>
      <c r="H33" s="342"/>
      <c r="I33" s="35"/>
      <c r="J33" s="34"/>
      <c r="K33" s="34"/>
      <c r="L33" s="35"/>
      <c r="M33" s="329">
        <v>0</v>
      </c>
      <c r="N33" s="343"/>
      <c r="O33" s="35"/>
      <c r="P33" s="34"/>
      <c r="Q33" s="34"/>
      <c r="R33" s="35"/>
      <c r="S33" s="339">
        <v>0</v>
      </c>
      <c r="T33" s="340"/>
      <c r="U33" s="341"/>
      <c r="V33" s="34"/>
      <c r="W33" s="34"/>
      <c r="X33" s="34"/>
      <c r="Y33" s="329">
        <f>+G33</f>
        <v>27500000</v>
      </c>
      <c r="Z33" s="34"/>
      <c r="AA33" s="34"/>
      <c r="AB33" s="137">
        <v>6500000</v>
      </c>
      <c r="AC33" s="34"/>
      <c r="AD33" s="35"/>
      <c r="AE33" s="137">
        <v>6500000</v>
      </c>
      <c r="AF33" s="34"/>
      <c r="AG33" s="34"/>
      <c r="AH33" s="137">
        <f>7292000+7769</f>
        <v>7299769</v>
      </c>
      <c r="AI33" s="34"/>
      <c r="AJ33" s="34"/>
      <c r="AK33" s="137">
        <v>0</v>
      </c>
      <c r="AL33" s="157"/>
      <c r="AM33" s="329">
        <f>+AB33+AE33+AH33+AK33</f>
        <v>20299769</v>
      </c>
      <c r="AO33" s="171"/>
      <c r="AP33" s="199"/>
    </row>
    <row r="34" spans="1:45" ht="37.5" customHeight="1" thickBot="1" x14ac:dyDescent="0.5">
      <c r="A34" s="370" t="s">
        <v>44</v>
      </c>
      <c r="B34" s="371"/>
      <c r="C34" s="371"/>
      <c r="D34" s="371"/>
      <c r="E34" s="371"/>
      <c r="F34" s="371"/>
      <c r="G34" s="372">
        <f>SUM(G31:G33)</f>
        <v>968875000</v>
      </c>
      <c r="H34" s="373"/>
      <c r="I34" s="374"/>
      <c r="J34" s="374"/>
      <c r="K34" s="374"/>
      <c r="L34" s="374"/>
      <c r="M34" s="375">
        <f>SUM(M31:M33)</f>
        <v>0</v>
      </c>
      <c r="N34" s="376"/>
      <c r="O34" s="374"/>
      <c r="P34" s="374"/>
      <c r="Q34" s="374"/>
      <c r="R34" s="374"/>
      <c r="S34" s="377">
        <f>SUM(S31:S33)</f>
        <v>0</v>
      </c>
      <c r="T34" s="378"/>
      <c r="U34" s="379"/>
      <c r="V34" s="379"/>
      <c r="W34" s="379"/>
      <c r="X34" s="379"/>
      <c r="Y34" s="372">
        <f>SUM(Y31:Y33)</f>
        <v>968875000</v>
      </c>
      <c r="Z34" s="374"/>
      <c r="AA34" s="380"/>
      <c r="AB34" s="372">
        <f>SUM(AB31:AB33)</f>
        <v>123325000</v>
      </c>
      <c r="AC34" s="374"/>
      <c r="AD34" s="380"/>
      <c r="AE34" s="372">
        <f>SUM(AE31:AE33)</f>
        <v>123325000</v>
      </c>
      <c r="AF34" s="374"/>
      <c r="AG34" s="380"/>
      <c r="AH34" s="372">
        <f>SUM(AH31:AH33)</f>
        <v>124124769</v>
      </c>
      <c r="AI34" s="381"/>
      <c r="AJ34" s="380"/>
      <c r="AK34" s="372">
        <f>SUM(AK31:AK33)</f>
        <v>46095000</v>
      </c>
      <c r="AL34" s="382"/>
      <c r="AM34" s="375">
        <f>+SUM(AM31:AM33)</f>
        <v>416869769</v>
      </c>
      <c r="AO34" s="171"/>
      <c r="AP34" s="199"/>
      <c r="AR34" s="29"/>
      <c r="AS34" s="172"/>
    </row>
    <row r="35" spans="1:45" ht="15" customHeight="1" x14ac:dyDescent="0.45">
      <c r="A35" s="164"/>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O35" s="171"/>
      <c r="AP35" s="199"/>
    </row>
    <row r="36" spans="1:45" ht="45" customHeight="1" x14ac:dyDescent="0.45">
      <c r="A36" s="383" t="s">
        <v>45</v>
      </c>
      <c r="B36" s="384"/>
      <c r="C36" s="384"/>
      <c r="D36" s="384"/>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4"/>
      <c r="AJ36" s="384"/>
      <c r="AK36" s="384"/>
      <c r="AL36" s="384"/>
      <c r="AM36" s="384"/>
      <c r="AO36" s="171"/>
      <c r="AP36" s="199"/>
    </row>
    <row r="37" spans="1:45" ht="45" customHeight="1" thickBot="1" x14ac:dyDescent="0.5">
      <c r="A37" s="383" t="s">
        <v>79</v>
      </c>
      <c r="B37" s="384"/>
      <c r="C37" s="384"/>
      <c r="D37" s="384"/>
      <c r="E37" s="384"/>
      <c r="F37" s="384"/>
      <c r="G37" s="384"/>
      <c r="H37" s="384"/>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84"/>
      <c r="AI37" s="384"/>
      <c r="AJ37" s="384"/>
      <c r="AK37" s="384"/>
      <c r="AL37" s="384"/>
      <c r="AM37" s="384"/>
      <c r="AO37" s="171"/>
      <c r="AP37" s="199"/>
    </row>
    <row r="38" spans="1:45" ht="68.150000000000006" customHeight="1" thickBot="1" x14ac:dyDescent="0.5">
      <c r="A38" s="285" t="s">
        <v>20</v>
      </c>
      <c r="B38" s="286" t="s">
        <v>21</v>
      </c>
      <c r="C38" s="287" t="s">
        <v>22</v>
      </c>
      <c r="D38" s="288" t="s">
        <v>23</v>
      </c>
      <c r="E38" s="286" t="s">
        <v>24</v>
      </c>
      <c r="F38" s="288" t="s">
        <v>25</v>
      </c>
      <c r="G38" s="289" t="s">
        <v>26</v>
      </c>
      <c r="H38" s="286" t="s">
        <v>21</v>
      </c>
      <c r="I38" s="287" t="s">
        <v>22</v>
      </c>
      <c r="J38" s="288" t="s">
        <v>23</v>
      </c>
      <c r="K38" s="286" t="s">
        <v>24</v>
      </c>
      <c r="L38" s="288" t="s">
        <v>25</v>
      </c>
      <c r="M38" s="289" t="s">
        <v>26</v>
      </c>
      <c r="N38" s="286" t="s">
        <v>21</v>
      </c>
      <c r="O38" s="287" t="s">
        <v>22</v>
      </c>
      <c r="P38" s="288" t="s">
        <v>23</v>
      </c>
      <c r="Q38" s="286" t="s">
        <v>24</v>
      </c>
      <c r="R38" s="288" t="s">
        <v>25</v>
      </c>
      <c r="S38" s="289" t="s">
        <v>26</v>
      </c>
      <c r="T38" s="286" t="s">
        <v>21</v>
      </c>
      <c r="U38" s="287" t="s">
        <v>22</v>
      </c>
      <c r="V38" s="288" t="s">
        <v>23</v>
      </c>
      <c r="W38" s="286" t="s">
        <v>24</v>
      </c>
      <c r="X38" s="288" t="s">
        <v>25</v>
      </c>
      <c r="Y38" s="289" t="s">
        <v>26</v>
      </c>
      <c r="Z38" s="286" t="s">
        <v>24</v>
      </c>
      <c r="AA38" s="288" t="s">
        <v>29</v>
      </c>
      <c r="AB38" s="289" t="s">
        <v>30</v>
      </c>
      <c r="AC38" s="286" t="s">
        <v>24</v>
      </c>
      <c r="AD38" s="288" t="s">
        <v>29</v>
      </c>
      <c r="AE38" s="289" t="s">
        <v>30</v>
      </c>
      <c r="AF38" s="286" t="s">
        <v>24</v>
      </c>
      <c r="AG38" s="288" t="s">
        <v>29</v>
      </c>
      <c r="AH38" s="289" t="s">
        <v>30</v>
      </c>
      <c r="AI38" s="286" t="s">
        <v>24</v>
      </c>
      <c r="AJ38" s="288" t="s">
        <v>29</v>
      </c>
      <c r="AK38" s="289" t="s">
        <v>30</v>
      </c>
      <c r="AL38" s="294" t="s">
        <v>31</v>
      </c>
      <c r="AM38" s="289" t="s">
        <v>26</v>
      </c>
      <c r="AO38" s="171"/>
      <c r="AP38" s="199"/>
    </row>
    <row r="39" spans="1:45" ht="175.5" customHeight="1" x14ac:dyDescent="0.45">
      <c r="A39" s="385" t="str">
        <f>+'[1]ACTA 1'!B30</f>
        <v>Vehículo No. 1 doble tracción, doble cabina, 2400 CC o superior (modelo 2015 o superior)  tarifa de alquiler tiempo completo, incluye combustible,  incluye conductor. Se debe garantizar permanencia de los vehículos durante toda la ejecución del proyecto.</v>
      </c>
      <c r="B39" s="386" t="str">
        <f>+'[1]ACTA 1'!C30</f>
        <v>Unidad</v>
      </c>
      <c r="C39" s="35">
        <v>5300000</v>
      </c>
      <c r="D39" s="325">
        <v>1</v>
      </c>
      <c r="E39" s="34">
        <f>+'[1]ACTA 1'!D30</f>
        <v>3</v>
      </c>
      <c r="F39" s="34">
        <v>8</v>
      </c>
      <c r="G39" s="387">
        <f>+F39*E39*D39*C39</f>
        <v>127200000</v>
      </c>
      <c r="H39" s="386" t="s">
        <v>46</v>
      </c>
      <c r="I39" s="35">
        <v>5300000</v>
      </c>
      <c r="J39" s="34">
        <v>1</v>
      </c>
      <c r="K39" s="34">
        <v>0</v>
      </c>
      <c r="L39" s="34">
        <v>0</v>
      </c>
      <c r="M39" s="387">
        <f>+L39*K39*J39*I39</f>
        <v>0</v>
      </c>
      <c r="N39" s="386" t="s">
        <v>46</v>
      </c>
      <c r="O39" s="35">
        <v>5300000</v>
      </c>
      <c r="P39" s="34">
        <v>1</v>
      </c>
      <c r="Q39" s="34">
        <v>0</v>
      </c>
      <c r="R39" s="34">
        <v>0</v>
      </c>
      <c r="S39" s="387">
        <f>+R39*Q39*P39*O39</f>
        <v>0</v>
      </c>
      <c r="T39" s="386" t="s">
        <v>46</v>
      </c>
      <c r="U39" s="35">
        <v>5300000</v>
      </c>
      <c r="V39" s="34">
        <v>1</v>
      </c>
      <c r="W39" s="34">
        <f t="shared" ref="W39:W47" si="19">+E39+K39+Q39</f>
        <v>3</v>
      </c>
      <c r="X39" s="34">
        <f t="shared" ref="X39:X47" si="20">+F39+L39+R39</f>
        <v>8</v>
      </c>
      <c r="Y39" s="387">
        <f t="shared" ref="Y39:Y45" si="21">+G39</f>
        <v>127200000</v>
      </c>
      <c r="Z39" s="157">
        <v>1</v>
      </c>
      <c r="AA39" s="34">
        <v>3</v>
      </c>
      <c r="AB39" s="137">
        <f>+ROUND(AA39*Z39*V39*U39,0)</f>
        <v>15900000</v>
      </c>
      <c r="AC39" s="34">
        <v>1</v>
      </c>
      <c r="AD39" s="34">
        <v>3</v>
      </c>
      <c r="AE39" s="137">
        <f>+ROUND(AD39*AC39*V39*U39,0)</f>
        <v>15900000</v>
      </c>
      <c r="AF39" s="34">
        <v>1</v>
      </c>
      <c r="AG39" s="34">
        <v>3</v>
      </c>
      <c r="AH39" s="137">
        <f t="shared" ref="AH39:AH45" si="22">+ROUND(AG39*AF39*C39*D39,0)</f>
        <v>15900000</v>
      </c>
      <c r="AI39" s="34">
        <v>1</v>
      </c>
      <c r="AJ39" s="34">
        <v>1</v>
      </c>
      <c r="AK39" s="137">
        <f t="shared" ref="AK39:AK45" si="23">+ROUND(AI39*AJ39*U39*V39,0)</f>
        <v>5300000</v>
      </c>
      <c r="AL39" s="157">
        <f>+Z39*AA39+AC39*AD39+AF39*AG39+AI39*AJ39</f>
        <v>10</v>
      </c>
      <c r="AM39" s="329">
        <f>+AB39+AE39+AH39+AK39</f>
        <v>53000000</v>
      </c>
      <c r="AO39" s="171"/>
      <c r="AP39" s="199"/>
      <c r="AR39" s="21"/>
    </row>
    <row r="40" spans="1:45" ht="56.15" customHeight="1" x14ac:dyDescent="0.45">
      <c r="A40" s="385" t="str">
        <f>+'[1]ACTA 1'!B31</f>
        <v xml:space="preserve">Moto No. 1.  Alquiler modelo 2015 o superior  - tarifa de alquiler </v>
      </c>
      <c r="B40" s="386" t="str">
        <f>+'[1]ACTA 1'!C31</f>
        <v>Unidad</v>
      </c>
      <c r="C40" s="35">
        <f>+'[1]ACTA 1'!E31</f>
        <v>550000</v>
      </c>
      <c r="D40" s="325">
        <v>1</v>
      </c>
      <c r="E40" s="34">
        <v>4</v>
      </c>
      <c r="F40" s="34">
        <v>8</v>
      </c>
      <c r="G40" s="387">
        <f t="shared" ref="G40:G45" si="24">+F40*E40*D40*C40</f>
        <v>17600000</v>
      </c>
      <c r="H40" s="386" t="s">
        <v>46</v>
      </c>
      <c r="I40" s="35">
        <v>550000</v>
      </c>
      <c r="J40" s="34">
        <v>1</v>
      </c>
      <c r="K40" s="34">
        <v>0</v>
      </c>
      <c r="L40" s="34">
        <v>0</v>
      </c>
      <c r="M40" s="387">
        <f t="shared" ref="M40:M45" si="25">+L40*K40*J40*I40</f>
        <v>0</v>
      </c>
      <c r="N40" s="386" t="s">
        <v>46</v>
      </c>
      <c r="O40" s="35">
        <v>550000</v>
      </c>
      <c r="P40" s="34">
        <v>1</v>
      </c>
      <c r="Q40" s="34">
        <v>0</v>
      </c>
      <c r="R40" s="34">
        <v>0</v>
      </c>
      <c r="S40" s="387">
        <f t="shared" ref="S40:S45" si="26">+R40*Q40*P40*O40</f>
        <v>0</v>
      </c>
      <c r="T40" s="386" t="s">
        <v>46</v>
      </c>
      <c r="U40" s="35">
        <v>550000</v>
      </c>
      <c r="V40" s="34">
        <v>1</v>
      </c>
      <c r="W40" s="34">
        <f t="shared" si="19"/>
        <v>4</v>
      </c>
      <c r="X40" s="34">
        <f t="shared" si="20"/>
        <v>8</v>
      </c>
      <c r="Y40" s="387">
        <f t="shared" si="21"/>
        <v>17600000</v>
      </c>
      <c r="Z40" s="157">
        <v>1</v>
      </c>
      <c r="AA40" s="34">
        <v>4</v>
      </c>
      <c r="AB40" s="137">
        <f t="shared" ref="AB40:AB41" si="27">+ROUND(AA40*Z40*V40*U40,0)</f>
        <v>2200000</v>
      </c>
      <c r="AC40" s="34">
        <v>1</v>
      </c>
      <c r="AD40" s="35">
        <v>4</v>
      </c>
      <c r="AE40" s="137">
        <f t="shared" ref="AE40:AE41" si="28">+ROUND(AD40*AC40*V40*U40,0)</f>
        <v>2200000</v>
      </c>
      <c r="AF40" s="34">
        <v>1</v>
      </c>
      <c r="AG40" s="34">
        <v>4</v>
      </c>
      <c r="AH40" s="137">
        <f t="shared" si="22"/>
        <v>2200000</v>
      </c>
      <c r="AI40" s="34">
        <v>0</v>
      </c>
      <c r="AJ40" s="34">
        <v>0</v>
      </c>
      <c r="AK40" s="137">
        <f t="shared" si="23"/>
        <v>0</v>
      </c>
      <c r="AL40" s="157">
        <f t="shared" ref="AL40:AL50" si="29">+Z40*AA40+AC40*AD40+AF40*AG40+AI40*AJ40</f>
        <v>12</v>
      </c>
      <c r="AM40" s="329">
        <f t="shared" ref="AM40:AM50" si="30">+AB40+AE40+AH40+AK40</f>
        <v>6600000</v>
      </c>
      <c r="AO40" s="171"/>
      <c r="AP40" s="199"/>
      <c r="AR40" s="21"/>
    </row>
    <row r="41" spans="1:45" ht="50" x14ac:dyDescent="0.45">
      <c r="A41" s="385" t="str">
        <f>+'[1]ACTA 1'!B32</f>
        <v>Fotocopias, edición informes, registros fotográficos entre otros en oficina en campo</v>
      </c>
      <c r="B41" s="386" t="str">
        <f>+'[1]ACTA 1'!C32</f>
        <v>Unidad</v>
      </c>
      <c r="C41" s="35">
        <v>350000</v>
      </c>
      <c r="D41" s="325">
        <v>1</v>
      </c>
      <c r="E41" s="34">
        <f>+'[1]ACTA 1'!D32</f>
        <v>1</v>
      </c>
      <c r="F41" s="34">
        <v>9</v>
      </c>
      <c r="G41" s="387">
        <f t="shared" si="24"/>
        <v>3150000</v>
      </c>
      <c r="H41" s="386" t="s">
        <v>46</v>
      </c>
      <c r="I41" s="35">
        <v>350000</v>
      </c>
      <c r="J41" s="34">
        <v>1</v>
      </c>
      <c r="K41" s="34">
        <v>0</v>
      </c>
      <c r="L41" s="34">
        <v>0</v>
      </c>
      <c r="M41" s="387">
        <f t="shared" si="25"/>
        <v>0</v>
      </c>
      <c r="N41" s="386" t="s">
        <v>46</v>
      </c>
      <c r="O41" s="35">
        <v>350000</v>
      </c>
      <c r="P41" s="34">
        <v>1</v>
      </c>
      <c r="Q41" s="34">
        <v>0</v>
      </c>
      <c r="R41" s="34">
        <v>0</v>
      </c>
      <c r="S41" s="387">
        <f t="shared" si="26"/>
        <v>0</v>
      </c>
      <c r="T41" s="386" t="s">
        <v>46</v>
      </c>
      <c r="U41" s="35">
        <v>350000</v>
      </c>
      <c r="V41" s="34">
        <v>1</v>
      </c>
      <c r="W41" s="34">
        <f t="shared" si="19"/>
        <v>1</v>
      </c>
      <c r="X41" s="34">
        <f t="shared" si="20"/>
        <v>9</v>
      </c>
      <c r="Y41" s="387">
        <f t="shared" si="21"/>
        <v>3150000</v>
      </c>
      <c r="Z41" s="157">
        <v>1</v>
      </c>
      <c r="AA41" s="34">
        <v>1</v>
      </c>
      <c r="AB41" s="137">
        <f t="shared" si="27"/>
        <v>350000</v>
      </c>
      <c r="AC41" s="34">
        <v>1</v>
      </c>
      <c r="AD41" s="35">
        <v>1</v>
      </c>
      <c r="AE41" s="137">
        <f t="shared" si="28"/>
        <v>350000</v>
      </c>
      <c r="AF41" s="34">
        <v>1</v>
      </c>
      <c r="AG41" s="34">
        <v>1</v>
      </c>
      <c r="AH41" s="137">
        <f t="shared" si="22"/>
        <v>350000</v>
      </c>
      <c r="AI41" s="34">
        <v>1</v>
      </c>
      <c r="AJ41" s="34">
        <v>1</v>
      </c>
      <c r="AK41" s="137">
        <f t="shared" si="23"/>
        <v>350000</v>
      </c>
      <c r="AL41" s="157">
        <f t="shared" si="29"/>
        <v>4</v>
      </c>
      <c r="AM41" s="329">
        <f t="shared" si="30"/>
        <v>1400000</v>
      </c>
      <c r="AO41" s="171"/>
      <c r="AP41" s="199"/>
      <c r="AR41" s="21"/>
    </row>
    <row r="42" spans="1:45" ht="66" customHeight="1" x14ac:dyDescent="0.45">
      <c r="A42" s="385" t="str">
        <f>+'[1]ACTA 1'!B33</f>
        <v>Comunicaciones (Teléfono, Fax, Celular, Internet, Etc.) mensual en campo</v>
      </c>
      <c r="B42" s="386" t="str">
        <f>+'[1]ACTA 1'!C33</f>
        <v>Unidad</v>
      </c>
      <c r="C42" s="35">
        <v>60000</v>
      </c>
      <c r="D42" s="325">
        <v>1</v>
      </c>
      <c r="E42" s="34">
        <v>16</v>
      </c>
      <c r="F42" s="34">
        <v>8</v>
      </c>
      <c r="G42" s="387">
        <f t="shared" si="24"/>
        <v>7680000</v>
      </c>
      <c r="H42" s="386" t="s">
        <v>46</v>
      </c>
      <c r="I42" s="35">
        <v>60000</v>
      </c>
      <c r="J42" s="34">
        <v>1</v>
      </c>
      <c r="K42" s="34">
        <v>0</v>
      </c>
      <c r="L42" s="34">
        <v>0</v>
      </c>
      <c r="M42" s="387">
        <f t="shared" si="25"/>
        <v>0</v>
      </c>
      <c r="N42" s="386" t="s">
        <v>46</v>
      </c>
      <c r="O42" s="35">
        <v>60000</v>
      </c>
      <c r="P42" s="34">
        <v>1</v>
      </c>
      <c r="Q42" s="34">
        <v>0</v>
      </c>
      <c r="R42" s="34">
        <v>0</v>
      </c>
      <c r="S42" s="387">
        <f t="shared" si="26"/>
        <v>0</v>
      </c>
      <c r="T42" s="386" t="s">
        <v>46</v>
      </c>
      <c r="U42" s="35">
        <v>60000</v>
      </c>
      <c r="V42" s="34">
        <v>1</v>
      </c>
      <c r="W42" s="34">
        <f t="shared" si="19"/>
        <v>16</v>
      </c>
      <c r="X42" s="34">
        <f t="shared" si="20"/>
        <v>8</v>
      </c>
      <c r="Y42" s="387">
        <f t="shared" si="21"/>
        <v>7680000</v>
      </c>
      <c r="Z42" s="157">
        <v>1</v>
      </c>
      <c r="AA42" s="34">
        <v>16</v>
      </c>
      <c r="AB42" s="137">
        <f>+ROUND(U42*V42*Z42*AA42,0)</f>
        <v>960000</v>
      </c>
      <c r="AC42" s="157">
        <v>1</v>
      </c>
      <c r="AD42" s="34">
        <v>16</v>
      </c>
      <c r="AE42" s="137">
        <f>+AC42*AD42*U42</f>
        <v>960000</v>
      </c>
      <c r="AF42" s="157">
        <v>1</v>
      </c>
      <c r="AG42" s="34">
        <v>16</v>
      </c>
      <c r="AH42" s="137">
        <f t="shared" si="22"/>
        <v>960000</v>
      </c>
      <c r="AI42" s="34">
        <v>1</v>
      </c>
      <c r="AJ42" s="34">
        <v>5</v>
      </c>
      <c r="AK42" s="137">
        <f t="shared" si="23"/>
        <v>300000</v>
      </c>
      <c r="AL42" s="157">
        <f t="shared" si="29"/>
        <v>53</v>
      </c>
      <c r="AM42" s="329">
        <f t="shared" si="30"/>
        <v>3180000</v>
      </c>
      <c r="AO42" s="171"/>
      <c r="AP42" s="199"/>
      <c r="AR42" s="21"/>
    </row>
    <row r="43" spans="1:45" ht="81" customHeight="1" x14ac:dyDescent="0.45">
      <c r="A43" s="385" t="str">
        <f>+'[1]ACTA 1'!B34</f>
        <v>Tarifa puesto de trabajo del personal de oficina de campo, incluye: alquiler de un (1) equipo de computo completo, escritorio y silla</v>
      </c>
      <c r="B43" s="386" t="str">
        <f>+'[1]ACTA 1'!C34</f>
        <v>Unidad</v>
      </c>
      <c r="C43" s="35">
        <v>190000</v>
      </c>
      <c r="D43" s="325">
        <v>1</v>
      </c>
      <c r="E43" s="34">
        <v>16</v>
      </c>
      <c r="F43" s="34">
        <v>8</v>
      </c>
      <c r="G43" s="387">
        <f t="shared" si="24"/>
        <v>24320000</v>
      </c>
      <c r="H43" s="386" t="s">
        <v>46</v>
      </c>
      <c r="I43" s="35">
        <v>190000</v>
      </c>
      <c r="J43" s="34">
        <v>1</v>
      </c>
      <c r="K43" s="34">
        <v>0</v>
      </c>
      <c r="L43" s="34">
        <v>0</v>
      </c>
      <c r="M43" s="387">
        <f t="shared" si="25"/>
        <v>0</v>
      </c>
      <c r="N43" s="386" t="s">
        <v>46</v>
      </c>
      <c r="O43" s="35">
        <v>190000</v>
      </c>
      <c r="P43" s="34">
        <v>1</v>
      </c>
      <c r="Q43" s="34">
        <v>0</v>
      </c>
      <c r="R43" s="34">
        <v>0</v>
      </c>
      <c r="S43" s="387">
        <f t="shared" si="26"/>
        <v>0</v>
      </c>
      <c r="T43" s="386" t="s">
        <v>46</v>
      </c>
      <c r="U43" s="35">
        <v>190000</v>
      </c>
      <c r="V43" s="34">
        <v>1</v>
      </c>
      <c r="W43" s="34">
        <f t="shared" si="19"/>
        <v>16</v>
      </c>
      <c r="X43" s="34">
        <f t="shared" si="20"/>
        <v>8</v>
      </c>
      <c r="Y43" s="387">
        <f t="shared" si="21"/>
        <v>24320000</v>
      </c>
      <c r="Z43" s="157">
        <v>1</v>
      </c>
      <c r="AA43" s="34">
        <v>16</v>
      </c>
      <c r="AB43" s="137">
        <f>+ROUND(U43*V43*Z43*AA43,0)</f>
        <v>3040000</v>
      </c>
      <c r="AC43" s="157">
        <v>1</v>
      </c>
      <c r="AD43" s="34">
        <v>16</v>
      </c>
      <c r="AE43" s="137">
        <f>+ROUND(AD43*AC43*V43*U43,0)</f>
        <v>3040000</v>
      </c>
      <c r="AF43" s="157">
        <v>1</v>
      </c>
      <c r="AG43" s="34">
        <v>16</v>
      </c>
      <c r="AH43" s="137">
        <f t="shared" si="22"/>
        <v>3040000</v>
      </c>
      <c r="AI43" s="34">
        <v>1</v>
      </c>
      <c r="AJ43" s="34">
        <v>5</v>
      </c>
      <c r="AK43" s="137">
        <f t="shared" si="23"/>
        <v>950000</v>
      </c>
      <c r="AL43" s="157">
        <f t="shared" si="29"/>
        <v>53</v>
      </c>
      <c r="AM43" s="329">
        <f t="shared" si="30"/>
        <v>10070000</v>
      </c>
      <c r="AO43" s="171"/>
      <c r="AP43" s="199"/>
      <c r="AR43" s="173"/>
    </row>
    <row r="44" spans="1:45" ht="27.5" x14ac:dyDescent="0.45">
      <c r="A44" s="385" t="str">
        <f>+'[1]ACTA 1'!B35</f>
        <v>Impresora (Una sola vez en el contrato)</v>
      </c>
      <c r="B44" s="386" t="str">
        <f>+'[1]ACTA 1'!C35</f>
        <v>Unidad</v>
      </c>
      <c r="C44" s="35">
        <v>1600000</v>
      </c>
      <c r="D44" s="325">
        <v>1</v>
      </c>
      <c r="E44" s="34">
        <f>+'[1]ACTA 1'!D35</f>
        <v>3</v>
      </c>
      <c r="F44" s="34">
        <f>+'[1]ACTA 1'!G35</f>
        <v>1</v>
      </c>
      <c r="G44" s="387">
        <f t="shared" si="24"/>
        <v>4800000</v>
      </c>
      <c r="H44" s="386" t="s">
        <v>46</v>
      </c>
      <c r="I44" s="35">
        <v>1600000</v>
      </c>
      <c r="J44" s="34">
        <v>1</v>
      </c>
      <c r="K44" s="34">
        <v>0</v>
      </c>
      <c r="L44" s="34">
        <v>0</v>
      </c>
      <c r="M44" s="387">
        <f t="shared" si="25"/>
        <v>0</v>
      </c>
      <c r="N44" s="386" t="s">
        <v>46</v>
      </c>
      <c r="O44" s="35">
        <v>1600000</v>
      </c>
      <c r="P44" s="34">
        <v>1</v>
      </c>
      <c r="Q44" s="34">
        <v>0</v>
      </c>
      <c r="R44" s="34">
        <v>0</v>
      </c>
      <c r="S44" s="387">
        <f t="shared" si="26"/>
        <v>0</v>
      </c>
      <c r="T44" s="386" t="s">
        <v>46</v>
      </c>
      <c r="U44" s="35">
        <v>1600000</v>
      </c>
      <c r="V44" s="34">
        <v>1</v>
      </c>
      <c r="W44" s="34">
        <f t="shared" si="19"/>
        <v>3</v>
      </c>
      <c r="X44" s="34">
        <f t="shared" si="20"/>
        <v>1</v>
      </c>
      <c r="Y44" s="387">
        <f t="shared" si="21"/>
        <v>4800000</v>
      </c>
      <c r="Z44" s="157">
        <v>0</v>
      </c>
      <c r="AA44" s="34">
        <v>0</v>
      </c>
      <c r="AB44" s="137">
        <f t="shared" ref="AB44:AB45" si="31">+ROUND(U44*V44*Z44*AA44,0)</f>
        <v>0</v>
      </c>
      <c r="AC44" s="34"/>
      <c r="AD44" s="35"/>
      <c r="AE44" s="137">
        <f t="shared" ref="AE44:AE45" si="32">+ROUND(AD44*AC44*V44*U44,0)</f>
        <v>0</v>
      </c>
      <c r="AF44" s="34">
        <v>0</v>
      </c>
      <c r="AG44" s="34">
        <v>0</v>
      </c>
      <c r="AH44" s="137">
        <f t="shared" si="22"/>
        <v>0</v>
      </c>
      <c r="AI44" s="34">
        <v>0</v>
      </c>
      <c r="AJ44" s="34">
        <v>0</v>
      </c>
      <c r="AK44" s="137">
        <f t="shared" si="23"/>
        <v>0</v>
      </c>
      <c r="AL44" s="157">
        <f t="shared" si="29"/>
        <v>0</v>
      </c>
      <c r="AM44" s="329">
        <f t="shared" si="30"/>
        <v>0</v>
      </c>
      <c r="AO44" s="171"/>
      <c r="AP44" s="199"/>
      <c r="AR44" s="173"/>
    </row>
    <row r="45" spans="1:45" ht="50" x14ac:dyDescent="0.45">
      <c r="A45" s="385" t="str">
        <f>+'[1]ACTA 1'!B36</f>
        <v>Oficina de campo (alquiler y pago de servicios públicos)</v>
      </c>
      <c r="B45" s="386" t="str">
        <f>+'[1]ACTA 1'!C36</f>
        <v>Unidad</v>
      </c>
      <c r="C45" s="35">
        <v>1200000</v>
      </c>
      <c r="D45" s="325">
        <v>1</v>
      </c>
      <c r="E45" s="34">
        <f>+'[1]ACTA 1'!D36</f>
        <v>3</v>
      </c>
      <c r="F45" s="34">
        <v>8</v>
      </c>
      <c r="G45" s="387">
        <f t="shared" si="24"/>
        <v>28800000</v>
      </c>
      <c r="H45" s="386" t="s">
        <v>46</v>
      </c>
      <c r="I45" s="35">
        <v>1200000</v>
      </c>
      <c r="J45" s="34">
        <v>1</v>
      </c>
      <c r="K45" s="34">
        <v>0</v>
      </c>
      <c r="L45" s="34">
        <v>0</v>
      </c>
      <c r="M45" s="387">
        <f t="shared" si="25"/>
        <v>0</v>
      </c>
      <c r="N45" s="386" t="s">
        <v>46</v>
      </c>
      <c r="O45" s="35">
        <v>1200000</v>
      </c>
      <c r="P45" s="34">
        <v>1</v>
      </c>
      <c r="Q45" s="34">
        <v>0</v>
      </c>
      <c r="R45" s="34">
        <v>0</v>
      </c>
      <c r="S45" s="387">
        <f t="shared" si="26"/>
        <v>0</v>
      </c>
      <c r="T45" s="386" t="s">
        <v>46</v>
      </c>
      <c r="U45" s="35">
        <v>1200000</v>
      </c>
      <c r="V45" s="34">
        <v>1</v>
      </c>
      <c r="W45" s="34">
        <f t="shared" si="19"/>
        <v>3</v>
      </c>
      <c r="X45" s="34">
        <f t="shared" si="20"/>
        <v>8</v>
      </c>
      <c r="Y45" s="387">
        <f t="shared" si="21"/>
        <v>28800000</v>
      </c>
      <c r="Z45" s="157">
        <v>1</v>
      </c>
      <c r="AA45" s="34">
        <v>3</v>
      </c>
      <c r="AB45" s="137">
        <f t="shared" si="31"/>
        <v>3600000</v>
      </c>
      <c r="AC45" s="34">
        <v>1</v>
      </c>
      <c r="AD45" s="35">
        <v>3</v>
      </c>
      <c r="AE45" s="137">
        <f t="shared" si="32"/>
        <v>3600000</v>
      </c>
      <c r="AF45" s="34">
        <v>1</v>
      </c>
      <c r="AG45" s="34">
        <v>3</v>
      </c>
      <c r="AH45" s="137">
        <f t="shared" si="22"/>
        <v>3600000</v>
      </c>
      <c r="AI45" s="34">
        <v>1</v>
      </c>
      <c r="AJ45" s="34">
        <v>1</v>
      </c>
      <c r="AK45" s="137">
        <f t="shared" si="23"/>
        <v>1200000</v>
      </c>
      <c r="AL45" s="157">
        <f t="shared" si="29"/>
        <v>10</v>
      </c>
      <c r="AM45" s="329">
        <f t="shared" si="30"/>
        <v>12000000</v>
      </c>
      <c r="AO45" s="171"/>
      <c r="AP45" s="199"/>
      <c r="AR45" s="21"/>
    </row>
    <row r="46" spans="1:45" s="174" customFormat="1" ht="88" customHeight="1" x14ac:dyDescent="0.5">
      <c r="A46" s="388"/>
      <c r="B46" s="389"/>
      <c r="C46" s="390" t="str">
        <f>+'[1]ACTA 1'!E37</f>
        <v>Valor día</v>
      </c>
      <c r="D46" s="391"/>
      <c r="E46" s="391" t="s">
        <v>84</v>
      </c>
      <c r="F46" s="391" t="str">
        <f>+'[1]ACTA 1'!G37</f>
        <v>Plazo-Meses</v>
      </c>
      <c r="G46" s="392"/>
      <c r="H46" s="389"/>
      <c r="I46" s="390" t="s">
        <v>69</v>
      </c>
      <c r="J46" s="391"/>
      <c r="K46" s="391" t="s">
        <v>70</v>
      </c>
      <c r="L46" s="391" t="s">
        <v>71</v>
      </c>
      <c r="M46" s="392"/>
      <c r="N46" s="389"/>
      <c r="O46" s="390" t="s">
        <v>69</v>
      </c>
      <c r="P46" s="391"/>
      <c r="Q46" s="391" t="s">
        <v>70</v>
      </c>
      <c r="R46" s="391" t="s">
        <v>71</v>
      </c>
      <c r="S46" s="392"/>
      <c r="T46" s="389"/>
      <c r="U46" s="390" t="s">
        <v>69</v>
      </c>
      <c r="V46" s="391"/>
      <c r="W46" s="391" t="s">
        <v>84</v>
      </c>
      <c r="X46" s="391" t="s">
        <v>71</v>
      </c>
      <c r="Y46" s="392"/>
      <c r="Z46" s="393"/>
      <c r="AA46" s="34"/>
      <c r="AB46" s="394"/>
      <c r="AC46" s="391"/>
      <c r="AD46" s="390"/>
      <c r="AE46" s="394"/>
      <c r="AF46" s="391"/>
      <c r="AG46" s="390"/>
      <c r="AH46" s="394"/>
      <c r="AI46" s="391"/>
      <c r="AJ46" s="395"/>
      <c r="AK46" s="347"/>
      <c r="AL46" s="157">
        <f t="shared" si="29"/>
        <v>0</v>
      </c>
      <c r="AM46" s="329">
        <f t="shared" si="30"/>
        <v>0</v>
      </c>
      <c r="AO46" s="171"/>
      <c r="AP46" s="199"/>
      <c r="AR46" s="175"/>
      <c r="AS46" s="176"/>
    </row>
    <row r="47" spans="1:45" ht="194.25" customHeight="1" x14ac:dyDescent="0.45">
      <c r="A47" s="385" t="str">
        <f>+'[1]ACTA 1'!B38</f>
        <v>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v>
      </c>
      <c r="B47" s="386" t="str">
        <f>+'[1]ACTA 1'!C38</f>
        <v>Día-mes</v>
      </c>
      <c r="C47" s="35">
        <v>693500</v>
      </c>
      <c r="D47" s="34"/>
      <c r="E47" s="34">
        <f>+'[1]ACTA 1'!D38</f>
        <v>15</v>
      </c>
      <c r="F47" s="34">
        <f>+'[1]ACTA 1'!G38</f>
        <v>5</v>
      </c>
      <c r="G47" s="387">
        <f>+F47*E47*C47</f>
        <v>52012500</v>
      </c>
      <c r="H47" s="386" t="s">
        <v>47</v>
      </c>
      <c r="I47" s="35">
        <v>693500</v>
      </c>
      <c r="J47" s="34"/>
      <c r="K47" s="34">
        <v>0</v>
      </c>
      <c r="L47" s="34">
        <v>0</v>
      </c>
      <c r="M47" s="387">
        <f>+L47*K47*I47</f>
        <v>0</v>
      </c>
      <c r="N47" s="386" t="s">
        <v>47</v>
      </c>
      <c r="O47" s="35">
        <v>693500</v>
      </c>
      <c r="P47" s="34"/>
      <c r="Q47" s="34">
        <v>0</v>
      </c>
      <c r="R47" s="34">
        <v>0</v>
      </c>
      <c r="S47" s="387">
        <f>+R47*Q47*O47</f>
        <v>0</v>
      </c>
      <c r="T47" s="386" t="s">
        <v>47</v>
      </c>
      <c r="U47" s="35">
        <v>693500</v>
      </c>
      <c r="V47" s="34"/>
      <c r="W47" s="34">
        <f t="shared" si="19"/>
        <v>15</v>
      </c>
      <c r="X47" s="34">
        <f t="shared" si="20"/>
        <v>5</v>
      </c>
      <c r="Y47" s="387">
        <f>+G47</f>
        <v>52012500</v>
      </c>
      <c r="Z47" s="157">
        <v>1</v>
      </c>
      <c r="AA47" s="34">
        <v>30</v>
      </c>
      <c r="AB47" s="137">
        <f>+Z47*AA47*U47</f>
        <v>20805000</v>
      </c>
      <c r="AC47" s="34">
        <v>1</v>
      </c>
      <c r="AD47" s="35">
        <v>30</v>
      </c>
      <c r="AE47" s="137">
        <f>+AC47*AD47*U47</f>
        <v>20805000</v>
      </c>
      <c r="AF47" s="34">
        <v>1</v>
      </c>
      <c r="AG47" s="34">
        <v>30</v>
      </c>
      <c r="AH47" s="137">
        <f>+AF47*AG47*U47</f>
        <v>20805000</v>
      </c>
      <c r="AI47" s="34">
        <v>0</v>
      </c>
      <c r="AJ47" s="34">
        <v>0</v>
      </c>
      <c r="AK47" s="137">
        <f>+ROUND(AI47*AJ47*U47*V47,0)</f>
        <v>0</v>
      </c>
      <c r="AL47" s="157">
        <f t="shared" si="29"/>
        <v>90</v>
      </c>
      <c r="AM47" s="329">
        <f t="shared" si="30"/>
        <v>62415000</v>
      </c>
      <c r="AO47" s="171"/>
      <c r="AP47" s="199"/>
      <c r="AR47" s="173"/>
      <c r="AS47" s="177"/>
    </row>
    <row r="48" spans="1:45" ht="115" customHeight="1" x14ac:dyDescent="0.45">
      <c r="A48" s="385" t="str">
        <f>+'[1]ACTA 1'!B39</f>
        <v>Ensayos de laboratorio:  Límites de Atterberg, granulometría, CBR, compresión simple, entre otros que se soliciten por parte de la Entidad. (Se pagan contra factura y resultados)</v>
      </c>
      <c r="B48" s="386" t="str">
        <f>+'[1]ACTA 1'!C39</f>
        <v xml:space="preserve">Estimado </v>
      </c>
      <c r="C48" s="35"/>
      <c r="D48" s="34"/>
      <c r="E48" s="34"/>
      <c r="F48" s="34"/>
      <c r="G48" s="387">
        <v>24424744</v>
      </c>
      <c r="H48" s="386" t="s">
        <v>48</v>
      </c>
      <c r="I48" s="35"/>
      <c r="J48" s="34"/>
      <c r="K48" s="34"/>
      <c r="L48" s="34"/>
      <c r="M48" s="387">
        <v>0</v>
      </c>
      <c r="N48" s="386" t="s">
        <v>48</v>
      </c>
      <c r="O48" s="35"/>
      <c r="P48" s="34"/>
      <c r="Q48" s="34"/>
      <c r="R48" s="34"/>
      <c r="S48" s="387">
        <v>0</v>
      </c>
      <c r="T48" s="386" t="s">
        <v>48</v>
      </c>
      <c r="U48" s="35"/>
      <c r="V48" s="34"/>
      <c r="W48" s="34"/>
      <c r="X48" s="34"/>
      <c r="Y48" s="387">
        <f>+G48+M48+S48</f>
        <v>24424744</v>
      </c>
      <c r="Z48" s="157"/>
      <c r="AA48" s="34"/>
      <c r="AB48" s="137">
        <v>15000000</v>
      </c>
      <c r="AC48" s="34"/>
      <c r="AD48" s="35"/>
      <c r="AE48" s="137">
        <f>+AB48</f>
        <v>15000000</v>
      </c>
      <c r="AF48" s="34"/>
      <c r="AG48" s="35"/>
      <c r="AH48" s="137">
        <f>+AE48</f>
        <v>15000000</v>
      </c>
      <c r="AI48" s="34"/>
      <c r="AJ48" s="366"/>
      <c r="AK48" s="137">
        <v>0</v>
      </c>
      <c r="AL48" s="157">
        <f t="shared" si="29"/>
        <v>0</v>
      </c>
      <c r="AM48" s="329">
        <f t="shared" si="30"/>
        <v>45000000</v>
      </c>
      <c r="AO48" s="171"/>
      <c r="AP48" s="199"/>
      <c r="AR48" s="173"/>
      <c r="AS48" s="177"/>
    </row>
    <row r="49" spans="1:44" ht="107.25" customHeight="1" x14ac:dyDescent="0.45">
      <c r="A49" s="385" t="str">
        <f>+'[1]ACTA 1'!B40</f>
        <v>Asesorías Especializadas (Hidráulicas, geotécnicas, suelos, pavimentos, estructurales, geológicas, o cualquier asesoría adicional) se paga contra factura</v>
      </c>
      <c r="B49" s="386" t="str">
        <f>+'[1]ACTA 1'!C40</f>
        <v>Estimado</v>
      </c>
      <c r="C49" s="35"/>
      <c r="D49" s="34"/>
      <c r="E49" s="34"/>
      <c r="F49" s="34"/>
      <c r="G49" s="387">
        <f>+'[1]ACTA 1'!H40</f>
        <v>13300000</v>
      </c>
      <c r="H49" s="386" t="s">
        <v>49</v>
      </c>
      <c r="I49" s="35"/>
      <c r="J49" s="34"/>
      <c r="K49" s="34"/>
      <c r="L49" s="34"/>
      <c r="M49" s="387">
        <v>0</v>
      </c>
      <c r="N49" s="386" t="s">
        <v>49</v>
      </c>
      <c r="O49" s="35"/>
      <c r="P49" s="34"/>
      <c r="Q49" s="34"/>
      <c r="R49" s="34"/>
      <c r="S49" s="387">
        <v>0</v>
      </c>
      <c r="T49" s="386" t="s">
        <v>49</v>
      </c>
      <c r="U49" s="35"/>
      <c r="V49" s="34"/>
      <c r="W49" s="34"/>
      <c r="X49" s="34"/>
      <c r="Y49" s="387">
        <f>+G49+M49+S49</f>
        <v>13300000</v>
      </c>
      <c r="Z49" s="157"/>
      <c r="AA49" s="34"/>
      <c r="AB49" s="137">
        <v>15000000</v>
      </c>
      <c r="AC49" s="34"/>
      <c r="AD49" s="35"/>
      <c r="AE49" s="137">
        <f>+AB49</f>
        <v>15000000</v>
      </c>
      <c r="AF49" s="34"/>
      <c r="AG49" s="35"/>
      <c r="AH49" s="137">
        <f>+AE49</f>
        <v>15000000</v>
      </c>
      <c r="AI49" s="34"/>
      <c r="AJ49" s="366"/>
      <c r="AK49" s="137">
        <v>0</v>
      </c>
      <c r="AL49" s="157">
        <f t="shared" si="29"/>
        <v>0</v>
      </c>
      <c r="AM49" s="329">
        <f t="shared" si="30"/>
        <v>45000000</v>
      </c>
      <c r="AO49" s="171"/>
      <c r="AP49" s="199"/>
      <c r="AR49" s="178"/>
    </row>
    <row r="50" spans="1:44" ht="64.5" customHeight="1" x14ac:dyDescent="0.45">
      <c r="A50" s="385" t="s">
        <v>80</v>
      </c>
      <c r="B50" s="386" t="str">
        <f>+'[1]ACTA 1'!C41</f>
        <v>Estimado</v>
      </c>
      <c r="C50" s="35"/>
      <c r="D50" s="34"/>
      <c r="E50" s="34"/>
      <c r="F50" s="34"/>
      <c r="G50" s="387">
        <v>14823500</v>
      </c>
      <c r="H50" s="386" t="s">
        <v>49</v>
      </c>
      <c r="I50" s="35"/>
      <c r="J50" s="34"/>
      <c r="K50" s="34"/>
      <c r="L50" s="34"/>
      <c r="M50" s="387">
        <v>0</v>
      </c>
      <c r="N50" s="386" t="s">
        <v>49</v>
      </c>
      <c r="O50" s="35"/>
      <c r="P50" s="34"/>
      <c r="Q50" s="34"/>
      <c r="R50" s="34"/>
      <c r="S50" s="387">
        <v>0</v>
      </c>
      <c r="T50" s="386" t="s">
        <v>49</v>
      </c>
      <c r="U50" s="35"/>
      <c r="V50" s="34"/>
      <c r="W50" s="34"/>
      <c r="X50" s="34"/>
      <c r="Y50" s="387">
        <f>+G50+M50+S50</f>
        <v>14823500</v>
      </c>
      <c r="Z50" s="157"/>
      <c r="AA50" s="34"/>
      <c r="AB50" s="137">
        <v>0</v>
      </c>
      <c r="AC50" s="34"/>
      <c r="AD50" s="35"/>
      <c r="AE50" s="137">
        <v>0</v>
      </c>
      <c r="AF50" s="34"/>
      <c r="AG50" s="35"/>
      <c r="AH50" s="137">
        <v>0</v>
      </c>
      <c r="AI50" s="34"/>
      <c r="AJ50" s="366"/>
      <c r="AK50" s="137">
        <v>0</v>
      </c>
      <c r="AL50" s="157">
        <f t="shared" si="29"/>
        <v>0</v>
      </c>
      <c r="AM50" s="329">
        <f t="shared" si="30"/>
        <v>0</v>
      </c>
      <c r="AO50" s="171"/>
      <c r="AP50" s="199"/>
      <c r="AR50" s="173"/>
    </row>
    <row r="51" spans="1:44" ht="44.25" customHeight="1" x14ac:dyDescent="0.45">
      <c r="A51" s="396" t="s">
        <v>81</v>
      </c>
      <c r="B51" s="397"/>
      <c r="C51" s="397"/>
      <c r="D51" s="397"/>
      <c r="E51" s="397"/>
      <c r="F51" s="398"/>
      <c r="G51" s="394">
        <f>+SUM(G39:G50)</f>
        <v>318110744</v>
      </c>
      <c r="H51" s="399"/>
      <c r="I51" s="138"/>
      <c r="J51" s="138"/>
      <c r="K51" s="138"/>
      <c r="L51" s="138"/>
      <c r="M51" s="394">
        <f>+SUM(M39:M50)</f>
        <v>0</v>
      </c>
      <c r="N51" s="399"/>
      <c r="O51" s="138"/>
      <c r="P51" s="138"/>
      <c r="Q51" s="138"/>
      <c r="R51" s="138"/>
      <c r="S51" s="394">
        <f>+SUM(S39:S50)</f>
        <v>0</v>
      </c>
      <c r="T51" s="399"/>
      <c r="U51" s="138"/>
      <c r="V51" s="138"/>
      <c r="W51" s="138"/>
      <c r="X51" s="138"/>
      <c r="Y51" s="394">
        <f>+SUM(Y39:Y50)</f>
        <v>318110744</v>
      </c>
      <c r="Z51" s="400"/>
      <c r="AA51" s="401"/>
      <c r="AB51" s="394">
        <f>+SUM(AB39:AB50)</f>
        <v>76855000</v>
      </c>
      <c r="AC51" s="138"/>
      <c r="AD51" s="401"/>
      <c r="AE51" s="394">
        <f>+SUM(AE39:AE50)</f>
        <v>76855000</v>
      </c>
      <c r="AF51" s="401"/>
      <c r="AG51" s="401"/>
      <c r="AH51" s="394">
        <f>+SUM(AH39:AH50)</f>
        <v>76855000</v>
      </c>
      <c r="AI51" s="138"/>
      <c r="AJ51" s="401"/>
      <c r="AK51" s="394">
        <f>+SUM(AK39:AK50)</f>
        <v>8100000</v>
      </c>
      <c r="AL51" s="157"/>
      <c r="AM51" s="392">
        <f>+SUM(AM39:AM50)</f>
        <v>238665000</v>
      </c>
      <c r="AO51" s="171"/>
      <c r="AP51" s="199"/>
      <c r="AR51" s="29"/>
    </row>
    <row r="52" spans="1:44" ht="12.75" customHeight="1" x14ac:dyDescent="0.45">
      <c r="A52" s="271"/>
      <c r="B52" s="272"/>
      <c r="C52" s="272"/>
      <c r="D52" s="272"/>
      <c r="E52" s="272"/>
      <c r="F52" s="273"/>
      <c r="G52" s="85"/>
      <c r="H52" s="86"/>
      <c r="I52" s="68"/>
      <c r="J52" s="68"/>
      <c r="K52" s="68"/>
      <c r="L52" s="68"/>
      <c r="M52" s="85"/>
      <c r="N52" s="86"/>
      <c r="O52" s="68"/>
      <c r="P52" s="68"/>
      <c r="Q52" s="68"/>
      <c r="R52" s="68"/>
      <c r="S52" s="85"/>
      <c r="T52" s="86"/>
      <c r="U52" s="68"/>
      <c r="V52" s="144"/>
      <c r="W52" s="36"/>
      <c r="X52" s="36"/>
      <c r="Y52" s="39"/>
      <c r="Z52" s="84"/>
      <c r="AA52" s="36"/>
      <c r="AB52" s="85"/>
      <c r="AC52" s="68"/>
      <c r="AD52" s="36"/>
      <c r="AE52" s="85"/>
      <c r="AF52" s="68"/>
      <c r="AG52" s="36"/>
      <c r="AH52" s="85"/>
      <c r="AI52" s="68"/>
      <c r="AJ52" s="36"/>
      <c r="AK52" s="85"/>
      <c r="AL52" s="84"/>
      <c r="AM52" s="85"/>
      <c r="AO52" s="171"/>
      <c r="AP52" s="199"/>
    </row>
    <row r="53" spans="1:44" ht="42.75" customHeight="1" x14ac:dyDescent="0.45">
      <c r="A53" s="268" t="s">
        <v>50</v>
      </c>
      <c r="B53" s="269"/>
      <c r="C53" s="269"/>
      <c r="D53" s="269"/>
      <c r="E53" s="269"/>
      <c r="F53" s="270"/>
      <c r="G53" s="85">
        <f>+G34+G51</f>
        <v>1286985744</v>
      </c>
      <c r="H53" s="86"/>
      <c r="I53" s="68"/>
      <c r="J53" s="68"/>
      <c r="K53" s="68"/>
      <c r="L53" s="68"/>
      <c r="M53" s="85">
        <f>+M34+M51</f>
        <v>0</v>
      </c>
      <c r="N53" s="86"/>
      <c r="O53" s="68"/>
      <c r="P53" s="68"/>
      <c r="Q53" s="68"/>
      <c r="R53" s="68"/>
      <c r="S53" s="85">
        <f>+S34+S51</f>
        <v>0</v>
      </c>
      <c r="T53" s="86"/>
      <c r="U53" s="68"/>
      <c r="V53" s="144"/>
      <c r="W53" s="36"/>
      <c r="X53" s="36"/>
      <c r="Y53" s="85">
        <f>+Y34+Y51</f>
        <v>1286985744</v>
      </c>
      <c r="Z53" s="84"/>
      <c r="AA53" s="36"/>
      <c r="AB53" s="85">
        <f>+AB34+AB51</f>
        <v>200180000</v>
      </c>
      <c r="AC53" s="68"/>
      <c r="AD53" s="36"/>
      <c r="AE53" s="85">
        <f>+AE34+AE51</f>
        <v>200180000</v>
      </c>
      <c r="AF53" s="68"/>
      <c r="AG53" s="36"/>
      <c r="AH53" s="85">
        <f>+AH34+AH51</f>
        <v>200979769</v>
      </c>
      <c r="AI53" s="68"/>
      <c r="AJ53" s="36"/>
      <c r="AK53" s="85">
        <f>+AK34+AK51</f>
        <v>54195000</v>
      </c>
      <c r="AL53" s="84"/>
      <c r="AM53" s="85">
        <f>+AM51+AM34</f>
        <v>655534769</v>
      </c>
      <c r="AO53" s="171"/>
      <c r="AP53" s="199"/>
    </row>
    <row r="54" spans="1:44" ht="29.25" customHeight="1" x14ac:dyDescent="0.45">
      <c r="A54" s="268" t="s">
        <v>51</v>
      </c>
      <c r="B54" s="269"/>
      <c r="C54" s="269"/>
      <c r="D54" s="269"/>
      <c r="E54" s="269"/>
      <c r="F54" s="270"/>
      <c r="G54" s="85">
        <f>ROUND(G53*0.19,0)</f>
        <v>244527291</v>
      </c>
      <c r="H54" s="86"/>
      <c r="I54" s="68"/>
      <c r="J54" s="68"/>
      <c r="K54" s="68"/>
      <c r="L54" s="68"/>
      <c r="M54" s="85">
        <f>ROUND(M53*0.19,0)</f>
        <v>0</v>
      </c>
      <c r="N54" s="86"/>
      <c r="O54" s="68"/>
      <c r="P54" s="68"/>
      <c r="Q54" s="68"/>
      <c r="R54" s="68"/>
      <c r="S54" s="85">
        <f>ROUND(S53*0.19,0)</f>
        <v>0</v>
      </c>
      <c r="T54" s="86"/>
      <c r="U54" s="68"/>
      <c r="V54" s="144"/>
      <c r="W54" s="36"/>
      <c r="X54" s="36"/>
      <c r="Y54" s="85">
        <f>ROUND(Y53*0.19,0)</f>
        <v>244527291</v>
      </c>
      <c r="Z54" s="84"/>
      <c r="AA54" s="36"/>
      <c r="AB54" s="85">
        <f>ROUND(AB53*0.19,0)</f>
        <v>38034200</v>
      </c>
      <c r="AC54" s="68"/>
      <c r="AD54" s="36"/>
      <c r="AE54" s="85">
        <f>ROUND(AE53*0.19,0)</f>
        <v>38034200</v>
      </c>
      <c r="AF54" s="68"/>
      <c r="AG54" s="36"/>
      <c r="AH54" s="85">
        <f>ROUND(AH53*0.19,0)</f>
        <v>38186156</v>
      </c>
      <c r="AI54" s="68"/>
      <c r="AJ54" s="36"/>
      <c r="AK54" s="85">
        <f>ROUND(AK53*0.19,0)</f>
        <v>10297050</v>
      </c>
      <c r="AL54" s="84"/>
      <c r="AM54" s="85">
        <f>+ROUND(AM53*19%,0)</f>
        <v>124551606</v>
      </c>
      <c r="AO54" s="171"/>
      <c r="AP54" s="199"/>
      <c r="AR54" s="29"/>
    </row>
    <row r="55" spans="1:44" ht="42.75" customHeight="1" thickBot="1" x14ac:dyDescent="0.5">
      <c r="A55" s="263" t="s">
        <v>52</v>
      </c>
      <c r="B55" s="264"/>
      <c r="C55" s="264"/>
      <c r="D55" s="264"/>
      <c r="E55" s="264"/>
      <c r="F55" s="265"/>
      <c r="G55" s="90">
        <f>+G53+G54</f>
        <v>1531513035</v>
      </c>
      <c r="H55" s="87"/>
      <c r="I55" s="89"/>
      <c r="J55" s="89"/>
      <c r="K55" s="89"/>
      <c r="L55" s="89"/>
      <c r="M55" s="90">
        <f>+M53+M54</f>
        <v>0</v>
      </c>
      <c r="N55" s="87"/>
      <c r="O55" s="89"/>
      <c r="P55" s="89"/>
      <c r="Q55" s="89"/>
      <c r="R55" s="89"/>
      <c r="S55" s="90">
        <f>+S53+S54</f>
        <v>0</v>
      </c>
      <c r="T55" s="87"/>
      <c r="U55" s="89"/>
      <c r="V55" s="146"/>
      <c r="W55" s="42"/>
      <c r="X55" s="42"/>
      <c r="Y55" s="90">
        <f>+Y53+Y54</f>
        <v>1531513035</v>
      </c>
      <c r="Z55" s="88"/>
      <c r="AA55" s="42"/>
      <c r="AB55" s="90">
        <f>+AB53+AB54</f>
        <v>238214200</v>
      </c>
      <c r="AC55" s="89"/>
      <c r="AD55" s="42"/>
      <c r="AE55" s="90">
        <f>+AE53+AE54</f>
        <v>238214200</v>
      </c>
      <c r="AF55" s="89"/>
      <c r="AG55" s="42"/>
      <c r="AH55" s="90">
        <f>+AH53+AH54</f>
        <v>239165925</v>
      </c>
      <c r="AI55" s="89"/>
      <c r="AJ55" s="42"/>
      <c r="AK55" s="90">
        <f>+AK53+AK54</f>
        <v>64492050</v>
      </c>
      <c r="AL55" s="88"/>
      <c r="AM55" s="85">
        <f>+AM54+AM53</f>
        <v>780086375</v>
      </c>
      <c r="AO55" s="171"/>
      <c r="AP55" s="199"/>
      <c r="AR55" s="29"/>
    </row>
    <row r="56" spans="1:44" ht="27.5" x14ac:dyDescent="0.55000000000000004">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R56" s="29"/>
    </row>
    <row r="57" spans="1:44" x14ac:dyDescent="0.45">
      <c r="AK57" s="21"/>
      <c r="AM57" s="29"/>
    </row>
    <row r="58" spans="1:44" x14ac:dyDescent="0.45">
      <c r="C58" s="29"/>
      <c r="AC58" s="29"/>
      <c r="AE58" s="29"/>
      <c r="AF58" s="29"/>
      <c r="AG58" s="29"/>
      <c r="AH58" s="29"/>
      <c r="AK58" s="21"/>
      <c r="AM58" s="21"/>
    </row>
    <row r="59" spans="1:44" x14ac:dyDescent="0.45">
      <c r="O59" s="29">
        <f>M55+S55</f>
        <v>0</v>
      </c>
      <c r="Z59" s="29"/>
      <c r="AE59" s="21"/>
      <c r="AL59" s="21"/>
      <c r="AM59" s="21"/>
    </row>
    <row r="60" spans="1:44" x14ac:dyDescent="0.45">
      <c r="C60" s="29"/>
      <c r="Z60" s="29"/>
      <c r="AC60" s="58"/>
      <c r="AF60" s="58"/>
      <c r="AG60" s="58"/>
      <c r="AH60" s="58"/>
      <c r="AL60" s="21"/>
      <c r="AM60" s="21"/>
    </row>
    <row r="61" spans="1:44" ht="23" x14ac:dyDescent="0.5">
      <c r="Z61" s="57"/>
      <c r="AA61" s="59"/>
      <c r="AC61" s="60"/>
      <c r="AF61" s="60"/>
      <c r="AG61" s="60"/>
      <c r="AH61" s="60"/>
      <c r="AL61" s="21"/>
      <c r="AM61" s="21"/>
    </row>
    <row r="62" spans="1:44" x14ac:dyDescent="0.45">
      <c r="S62" s="1">
        <f>Q43*O43*R43</f>
        <v>0</v>
      </c>
      <c r="Z62" s="29"/>
      <c r="AC62" s="29"/>
      <c r="AF62" s="29"/>
      <c r="AG62" s="29"/>
      <c r="AH62" s="29"/>
      <c r="AL62" s="21"/>
      <c r="AM62" s="21"/>
    </row>
    <row r="63" spans="1:44" x14ac:dyDescent="0.45">
      <c r="AC63" s="29"/>
      <c r="AF63" s="29"/>
      <c r="AG63" s="29"/>
      <c r="AH63" s="29"/>
      <c r="AL63" s="21"/>
      <c r="AM63" s="21"/>
    </row>
    <row r="64" spans="1:44" x14ac:dyDescent="0.45">
      <c r="Z64" s="29"/>
      <c r="AA64" s="29"/>
      <c r="AC64" s="29"/>
      <c r="AE64" s="29"/>
      <c r="AF64" s="29"/>
      <c r="AG64" s="29"/>
      <c r="AH64" s="29"/>
      <c r="AL64" s="21"/>
      <c r="AM64" s="21"/>
    </row>
    <row r="65" spans="25:39" x14ac:dyDescent="0.45">
      <c r="AC65" s="29"/>
      <c r="AE65" s="29"/>
      <c r="AF65" s="29"/>
      <c r="AG65" s="29"/>
      <c r="AH65" s="29"/>
      <c r="AL65" s="21"/>
      <c r="AM65" s="21"/>
    </row>
    <row r="66" spans="25:39" x14ac:dyDescent="0.45">
      <c r="AE66" s="29"/>
      <c r="AL66" s="21"/>
      <c r="AM66" s="21"/>
    </row>
    <row r="67" spans="25:39" x14ac:dyDescent="0.45">
      <c r="Y67" s="29"/>
      <c r="AL67" s="21"/>
      <c r="AM67" s="21"/>
    </row>
    <row r="68" spans="25:39" x14ac:dyDescent="0.45">
      <c r="Y68" s="29"/>
      <c r="AL68" s="21"/>
      <c r="AM68" s="21"/>
    </row>
    <row r="69" spans="25:39" x14ac:dyDescent="0.45">
      <c r="Y69" s="29"/>
    </row>
    <row r="70" spans="25:39" x14ac:dyDescent="0.45">
      <c r="Y70" s="29"/>
      <c r="Z70" s="61"/>
      <c r="AL70" s="21"/>
      <c r="AM70" s="21"/>
    </row>
    <row r="71" spans="25:39" x14ac:dyDescent="0.45">
      <c r="Y71" s="29"/>
      <c r="Z71" s="61"/>
    </row>
    <row r="72" spans="25:39" x14ac:dyDescent="0.45">
      <c r="Y72" s="29"/>
      <c r="Z72" s="61"/>
    </row>
    <row r="73" spans="25:39" x14ac:dyDescent="0.45">
      <c r="Y73" s="29"/>
      <c r="Z73" s="61"/>
    </row>
    <row r="74" spans="25:39" x14ac:dyDescent="0.45">
      <c r="Z74" s="61"/>
    </row>
    <row r="75" spans="25:39" x14ac:dyDescent="0.45">
      <c r="Z75" s="61"/>
    </row>
    <row r="76" spans="25:39" x14ac:dyDescent="0.45">
      <c r="Z76" s="61"/>
    </row>
    <row r="77" spans="25:39" x14ac:dyDescent="0.45">
      <c r="Z77" s="29"/>
      <c r="AB77" s="29"/>
      <c r="AC77" s="29"/>
      <c r="AD77" s="29"/>
      <c r="AE77" s="29"/>
      <c r="AF77" s="29"/>
      <c r="AG77" s="29"/>
      <c r="AH77" s="29"/>
      <c r="AI77" s="29"/>
      <c r="AJ77" s="29"/>
      <c r="AK77" s="29"/>
    </row>
  </sheetData>
  <mergeCells count="46">
    <mergeCell ref="B2:AM2"/>
    <mergeCell ref="B3:D3"/>
    <mergeCell ref="B4:D4"/>
    <mergeCell ref="T3:V3"/>
    <mergeCell ref="T4:V4"/>
    <mergeCell ref="W3:AM3"/>
    <mergeCell ref="W4:AM4"/>
    <mergeCell ref="E3:S3"/>
    <mergeCell ref="E4:S4"/>
    <mergeCell ref="A55:F55"/>
    <mergeCell ref="C14:G14"/>
    <mergeCell ref="B6:D6"/>
    <mergeCell ref="B7:D7"/>
    <mergeCell ref="E8:AM8"/>
    <mergeCell ref="T5:V5"/>
    <mergeCell ref="T6:V6"/>
    <mergeCell ref="T7:V7"/>
    <mergeCell ref="W5:AM5"/>
    <mergeCell ref="W6:AM6"/>
    <mergeCell ref="W7:AM7"/>
    <mergeCell ref="E5:S5"/>
    <mergeCell ref="E6:S6"/>
    <mergeCell ref="E7:S7"/>
    <mergeCell ref="A13:G13"/>
    <mergeCell ref="A52:F52"/>
    <mergeCell ref="A29:F29"/>
    <mergeCell ref="A30:F30"/>
    <mergeCell ref="A31:F31"/>
    <mergeCell ref="A34:F34"/>
    <mergeCell ref="A51:F51"/>
    <mergeCell ref="T34:X34"/>
    <mergeCell ref="AL11:AM11"/>
    <mergeCell ref="A11:G11"/>
    <mergeCell ref="A53:F53"/>
    <mergeCell ref="A54:F54"/>
    <mergeCell ref="A1:A8"/>
    <mergeCell ref="B1:AM1"/>
    <mergeCell ref="B5:D5"/>
    <mergeCell ref="H11:M11"/>
    <mergeCell ref="N11:S11"/>
    <mergeCell ref="T11:Y11"/>
    <mergeCell ref="Z11:AB11"/>
    <mergeCell ref="AC11:AE11"/>
    <mergeCell ref="AF11:AH11"/>
    <mergeCell ref="AI11:AK11"/>
    <mergeCell ref="B8:D8"/>
  </mergeCells>
  <printOptions horizontalCentered="1" verticalCentered="1"/>
  <pageMargins left="0.54500000000000004" right="0" top="0.15748031496062992" bottom="0.15748031496062992" header="0.31496062992125984" footer="0.31496062992125984"/>
  <pageSetup paperSize="9" scale="23" fitToHeight="0" orientation="landscape" r:id="rId1"/>
  <headerFooter alignWithMargins="0"/>
  <rowBreaks count="1" manualBreakCount="1">
    <brk id="34" max="1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DICIEMBRE 31</vt:lpstr>
      <vt:lpstr>AGOSTO-21</vt:lpstr>
      <vt:lpstr>'AGOSTO-21'!Área_de_impresión</vt:lpstr>
      <vt:lpstr>'DICIEMBRE 31'!Área_de_impresión</vt:lpstr>
      <vt:lpstr>'DICIEMBRE 31'!OLE_LINK3</vt:lpstr>
      <vt:lpstr>'AGOSTO-21'!Títulos_a_imprimir</vt:lpstr>
      <vt:lpstr>'DICIEMBRE 31'!Títulos_a_imprimir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EQUIPO</cp:lastModifiedBy>
  <cp:revision/>
  <cp:lastPrinted>2023-03-10T12:29:36Z</cp:lastPrinted>
  <dcterms:created xsi:type="dcterms:W3CDTF">2020-12-18T14:48:09Z</dcterms:created>
  <dcterms:modified xsi:type="dcterms:W3CDTF">2023-05-17T17:54:44Z</dcterms:modified>
  <cp:category/>
  <cp:contentStatus/>
</cp:coreProperties>
</file>